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sekido\Documents\Doc\VLBI\IVS\Collocation\CollocationWorkShop\"/>
    </mc:Choice>
  </mc:AlternateContent>
  <xr:revisionPtr revIDLastSave="0" documentId="8_{98F8DA04-4632-4C77-9A8C-AED9BFF07031}" xr6:coauthVersionLast="45" xr6:coauthVersionMax="45" xr10:uidLastSave="{00000000-0000-0000-0000-000000000000}"/>
  <bookViews>
    <workbookView xWindow="1035" yWindow="7350" windowWidth="20715" windowHeight="9930" tabRatio="1000" firstSheet="7" activeTab="13" xr2:uid="{124FEEA8-046C-4C7D-A8E4-A808B313BC74}"/>
  </bookViews>
  <sheets>
    <sheet name="H25KGNI" sheetId="1" r:id="rId1"/>
    <sheet name="H11kas" sheetId="3" r:id="rId2"/>
    <sheet name="H10kas" sheetId="2" state="hidden" r:id="rId3"/>
    <sheet name="H9kas" sheetId="4" state="hidden" r:id="rId4"/>
    <sheet name="H8kas" sheetId="5" state="hidden" r:id="rId5"/>
    <sheet name="NEU-Kas" sheetId="6" state="hidden" r:id="rId6"/>
    <sheet name="Kas-form" sheetId="10" r:id="rId7"/>
    <sheet name="H11kog" sheetId="7" r:id="rId8"/>
    <sheet name="NEU-Kog" sheetId="9" state="hidden" r:id="rId9"/>
    <sheet name="Kog-form" sheetId="11" r:id="rId10"/>
    <sheet name="H11mir" sheetId="14" r:id="rId11"/>
    <sheet name="H11tat" sheetId="16" r:id="rId12"/>
    <sheet name="T20-KasCHK" sheetId="12" r:id="rId13"/>
    <sheet name="IT20-kogCHK" sheetId="13" r:id="rId14"/>
    <sheet name="IT20-miuCHK" sheetId="17" r:id="rId15"/>
    <sheet name="IT20-tatCHK" sheetId="15" r:id="rId16"/>
    <sheet name="T20-Kas_Out" sheetId="18" r:id="rId17"/>
    <sheet name="IT20-kog_Out" sheetId="19" r:id="rId18"/>
    <sheet name="IT20-miu_Out" sheetId="20" r:id="rId19"/>
    <sheet name="IT20-tat_Out" sheetId="21" r:id="rId20"/>
  </sheets>
  <definedNames>
    <definedName name="_xlnm.Print_Area" localSheetId="6">'Kas-form'!$B$2:$R$76</definedName>
    <definedName name="_xlnm.Print_Area" localSheetId="9">'Kog-form'!$A$2:$Q$77</definedName>
    <definedName name="_xlnm.Print_Area" localSheetId="16">'T20-Kas_Out'!$A$55:$L$87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2" i="21" l="1"/>
  <c r="F72" i="21"/>
  <c r="E72" i="21"/>
  <c r="G70" i="21"/>
  <c r="F70" i="21"/>
  <c r="E70" i="21"/>
  <c r="G66" i="21"/>
  <c r="F66" i="21"/>
  <c r="E66" i="21"/>
  <c r="G64" i="21"/>
  <c r="F64" i="21"/>
  <c r="E64" i="21"/>
  <c r="G62" i="21"/>
  <c r="F62" i="21"/>
  <c r="E62" i="21"/>
  <c r="G58" i="21"/>
  <c r="F58" i="21"/>
  <c r="E58" i="21"/>
  <c r="G56" i="21"/>
  <c r="F56" i="21"/>
  <c r="E56" i="21"/>
  <c r="G52" i="21"/>
  <c r="F52" i="21"/>
  <c r="E52" i="21"/>
  <c r="G71" i="21"/>
  <c r="F71" i="21"/>
  <c r="E71" i="21"/>
  <c r="G69" i="21"/>
  <c r="F69" i="21"/>
  <c r="E69" i="21"/>
  <c r="G65" i="21"/>
  <c r="F65" i="21"/>
  <c r="E65" i="21"/>
  <c r="G63" i="21"/>
  <c r="F63" i="21"/>
  <c r="E63" i="21"/>
  <c r="G61" i="21"/>
  <c r="F61" i="21"/>
  <c r="E61" i="21"/>
  <c r="G57" i="21"/>
  <c r="F57" i="21"/>
  <c r="E57" i="21"/>
  <c r="G55" i="21"/>
  <c r="F55" i="21"/>
  <c r="E55" i="21"/>
  <c r="G51" i="21"/>
  <c r="F51" i="21"/>
  <c r="E51" i="21"/>
  <c r="G50" i="21"/>
  <c r="F50" i="21"/>
  <c r="E50" i="21"/>
  <c r="G49" i="21"/>
  <c r="F49" i="21"/>
  <c r="E49" i="21"/>
  <c r="G72" i="20"/>
  <c r="F72" i="20"/>
  <c r="E72" i="20"/>
  <c r="G70" i="20"/>
  <c r="F70" i="20"/>
  <c r="E70" i="20"/>
  <c r="G66" i="20"/>
  <c r="F66" i="20"/>
  <c r="E66" i="20"/>
  <c r="G64" i="20"/>
  <c r="F64" i="20"/>
  <c r="E64" i="20"/>
  <c r="G62" i="20"/>
  <c r="F62" i="20"/>
  <c r="E62" i="20"/>
  <c r="G58" i="20"/>
  <c r="F58" i="20"/>
  <c r="E58" i="20"/>
  <c r="G56" i="20"/>
  <c r="F56" i="20"/>
  <c r="E56" i="20"/>
  <c r="G52" i="20"/>
  <c r="F52" i="20"/>
  <c r="E52" i="20"/>
  <c r="G71" i="20"/>
  <c r="F71" i="20"/>
  <c r="E71" i="20"/>
  <c r="G69" i="20"/>
  <c r="F69" i="20"/>
  <c r="E69" i="20"/>
  <c r="G65" i="20"/>
  <c r="F65" i="20"/>
  <c r="E65" i="20"/>
  <c r="G63" i="20"/>
  <c r="F63" i="20"/>
  <c r="E63" i="20"/>
  <c r="G61" i="20"/>
  <c r="F61" i="20"/>
  <c r="E61" i="20"/>
  <c r="G57" i="20"/>
  <c r="F57" i="20"/>
  <c r="E57" i="20"/>
  <c r="G55" i="20"/>
  <c r="F55" i="20"/>
  <c r="E55" i="20"/>
  <c r="G51" i="20"/>
  <c r="F51" i="20"/>
  <c r="E51" i="20"/>
  <c r="G50" i="20"/>
  <c r="F50" i="20"/>
  <c r="E50" i="20"/>
  <c r="G49" i="20"/>
  <c r="F49" i="20"/>
  <c r="E49" i="20"/>
  <c r="G101" i="19"/>
  <c r="F101" i="19"/>
  <c r="E101" i="19"/>
  <c r="G99" i="19"/>
  <c r="F99" i="19"/>
  <c r="E99" i="19"/>
  <c r="G97" i="19"/>
  <c r="F97" i="19"/>
  <c r="E97" i="19"/>
  <c r="G95" i="19"/>
  <c r="F95" i="19"/>
  <c r="E95" i="19"/>
  <c r="G91" i="19"/>
  <c r="S91" i="19" s="1"/>
  <c r="F91" i="19"/>
  <c r="R91" i="19" s="1"/>
  <c r="E91" i="19"/>
  <c r="G89" i="19"/>
  <c r="F89" i="19"/>
  <c r="E89" i="19"/>
  <c r="G87" i="19"/>
  <c r="F87" i="19"/>
  <c r="E87" i="19"/>
  <c r="G83" i="19"/>
  <c r="F83" i="19"/>
  <c r="R83" i="19" s="1"/>
  <c r="E83" i="19"/>
  <c r="G81" i="19"/>
  <c r="F81" i="19"/>
  <c r="R81" i="19" s="1"/>
  <c r="E81" i="19"/>
  <c r="G79" i="19"/>
  <c r="F79" i="19"/>
  <c r="R79" i="19" s="1"/>
  <c r="E79" i="19"/>
  <c r="G75" i="19"/>
  <c r="F75" i="19"/>
  <c r="R75" i="19" s="1"/>
  <c r="E75" i="19"/>
  <c r="G73" i="19"/>
  <c r="F73" i="19"/>
  <c r="E73" i="19"/>
  <c r="G71" i="19"/>
  <c r="F71" i="19"/>
  <c r="E71" i="19"/>
  <c r="G67" i="19"/>
  <c r="F67" i="19"/>
  <c r="E67" i="19"/>
  <c r="G100" i="19"/>
  <c r="F100" i="19"/>
  <c r="E100" i="19"/>
  <c r="G98" i="19"/>
  <c r="F98" i="19"/>
  <c r="E98" i="19"/>
  <c r="G96" i="19"/>
  <c r="F96" i="19"/>
  <c r="E96" i="19"/>
  <c r="G94" i="19"/>
  <c r="F94" i="19"/>
  <c r="E94" i="19"/>
  <c r="G90" i="19"/>
  <c r="F90" i="19"/>
  <c r="E90" i="19"/>
  <c r="G88" i="19"/>
  <c r="F88" i="19"/>
  <c r="Z88" i="19" s="1"/>
  <c r="E88" i="19"/>
  <c r="G86" i="19"/>
  <c r="F86" i="19"/>
  <c r="E86" i="19"/>
  <c r="G82" i="19"/>
  <c r="F82" i="19"/>
  <c r="E82" i="19"/>
  <c r="G80" i="19"/>
  <c r="F80" i="19"/>
  <c r="E80" i="19"/>
  <c r="G78" i="19"/>
  <c r="F78" i="19"/>
  <c r="E78" i="19"/>
  <c r="G74" i="19"/>
  <c r="F74" i="19"/>
  <c r="Z74" i="19" s="1"/>
  <c r="AD70" i="19" s="1"/>
  <c r="E74" i="19"/>
  <c r="Y74" i="19" s="1"/>
  <c r="G72" i="19"/>
  <c r="F72" i="19"/>
  <c r="E72" i="19"/>
  <c r="G70" i="19"/>
  <c r="F70" i="19"/>
  <c r="E70" i="19"/>
  <c r="G66" i="19"/>
  <c r="AA66" i="19" s="1"/>
  <c r="F66" i="19"/>
  <c r="E66" i="19"/>
  <c r="G65" i="19"/>
  <c r="F65" i="19"/>
  <c r="R65" i="19" s="1"/>
  <c r="E65" i="19"/>
  <c r="G64" i="19"/>
  <c r="F64" i="19"/>
  <c r="E64" i="19"/>
  <c r="G87" i="18"/>
  <c r="F87" i="18"/>
  <c r="E87" i="18"/>
  <c r="G85" i="18"/>
  <c r="F85" i="18"/>
  <c r="E85" i="18"/>
  <c r="Q85" i="18" s="1"/>
  <c r="G83" i="18"/>
  <c r="F83" i="18"/>
  <c r="E83" i="18"/>
  <c r="G81" i="18"/>
  <c r="F81" i="18"/>
  <c r="E81" i="18"/>
  <c r="G79" i="18"/>
  <c r="F79" i="18"/>
  <c r="E79" i="18"/>
  <c r="G86" i="18"/>
  <c r="F86" i="18"/>
  <c r="E86" i="18"/>
  <c r="G84" i="18"/>
  <c r="F84" i="18"/>
  <c r="E84" i="18"/>
  <c r="G82" i="18"/>
  <c r="F82" i="18"/>
  <c r="E82" i="18"/>
  <c r="G80" i="18"/>
  <c r="F80" i="18"/>
  <c r="E80" i="18"/>
  <c r="G78" i="18"/>
  <c r="F78" i="18"/>
  <c r="V78" i="18" s="1"/>
  <c r="E78" i="18"/>
  <c r="G75" i="18"/>
  <c r="F75" i="18"/>
  <c r="E75" i="18"/>
  <c r="G73" i="18"/>
  <c r="F73" i="18"/>
  <c r="E73" i="18"/>
  <c r="G71" i="18"/>
  <c r="F71" i="18"/>
  <c r="E71" i="18"/>
  <c r="G69" i="18"/>
  <c r="F69" i="18"/>
  <c r="E69" i="18"/>
  <c r="G65" i="18"/>
  <c r="F65" i="18"/>
  <c r="E65" i="18"/>
  <c r="G63" i="18"/>
  <c r="F63" i="18"/>
  <c r="E63" i="18"/>
  <c r="G74" i="18"/>
  <c r="F74" i="18"/>
  <c r="V74" i="18" s="1"/>
  <c r="E74" i="18"/>
  <c r="G72" i="18"/>
  <c r="F72" i="18"/>
  <c r="E72" i="18"/>
  <c r="G70" i="18"/>
  <c r="F70" i="18"/>
  <c r="E70" i="18"/>
  <c r="G68" i="18"/>
  <c r="F68" i="18"/>
  <c r="E68" i="18"/>
  <c r="G64" i="18"/>
  <c r="W64" i="18" s="1"/>
  <c r="F64" i="18"/>
  <c r="E64" i="18"/>
  <c r="Y64" i="18" s="1"/>
  <c r="G62" i="18"/>
  <c r="F62" i="18"/>
  <c r="E62" i="18"/>
  <c r="U62" i="18" s="1"/>
  <c r="G58" i="18"/>
  <c r="F58" i="18"/>
  <c r="E58" i="18"/>
  <c r="G59" i="18"/>
  <c r="S59" i="18" s="1"/>
  <c r="F59" i="18"/>
  <c r="E59" i="18"/>
  <c r="G57" i="18"/>
  <c r="S57" i="18" s="1"/>
  <c r="F57" i="18"/>
  <c r="E57" i="18"/>
  <c r="G56" i="18"/>
  <c r="F56" i="18"/>
  <c r="E56" i="18"/>
  <c r="U56" i="18" s="1"/>
  <c r="K71" i="21"/>
  <c r="I71" i="21"/>
  <c r="C71" i="21"/>
  <c r="A71" i="21"/>
  <c r="K69" i="21"/>
  <c r="I69" i="21"/>
  <c r="C69" i="21"/>
  <c r="A69" i="21"/>
  <c r="K65" i="21"/>
  <c r="I65" i="21"/>
  <c r="C65" i="21"/>
  <c r="A65" i="21"/>
  <c r="K63" i="21"/>
  <c r="I63" i="21"/>
  <c r="C63" i="21"/>
  <c r="A63" i="21"/>
  <c r="K61" i="21"/>
  <c r="I61" i="21"/>
  <c r="C61" i="21"/>
  <c r="A61" i="21"/>
  <c r="K57" i="21"/>
  <c r="I57" i="21"/>
  <c r="C57" i="21"/>
  <c r="A57" i="21"/>
  <c r="K55" i="21"/>
  <c r="I55" i="21"/>
  <c r="C55" i="21"/>
  <c r="A55" i="21"/>
  <c r="K51" i="21"/>
  <c r="I51" i="21"/>
  <c r="H51" i="21"/>
  <c r="C51" i="21"/>
  <c r="A51" i="21"/>
  <c r="R49" i="21"/>
  <c r="Z49" i="21" s="1"/>
  <c r="K49" i="21"/>
  <c r="I49" i="21"/>
  <c r="C49" i="21"/>
  <c r="A49" i="21"/>
  <c r="V38" i="21"/>
  <c r="U38" i="21"/>
  <c r="S38" i="21"/>
  <c r="S71" i="21" s="1"/>
  <c r="R38" i="21"/>
  <c r="R71" i="21" s="1"/>
  <c r="Q38" i="21"/>
  <c r="Q71" i="21" s="1"/>
  <c r="P38" i="21"/>
  <c r="O38" i="21"/>
  <c r="N38" i="21"/>
  <c r="G38" i="21"/>
  <c r="F38" i="21"/>
  <c r="E38" i="21"/>
  <c r="V36" i="21"/>
  <c r="U36" i="21"/>
  <c r="S36" i="21"/>
  <c r="R36" i="21"/>
  <c r="Q36" i="21"/>
  <c r="P36" i="21"/>
  <c r="O36" i="21"/>
  <c r="N36" i="21"/>
  <c r="G36" i="21"/>
  <c r="F36" i="21"/>
  <c r="V71" i="21" s="1"/>
  <c r="E36" i="21"/>
  <c r="V34" i="21"/>
  <c r="U34" i="21"/>
  <c r="S34" i="21"/>
  <c r="S69" i="21" s="1"/>
  <c r="R34" i="21"/>
  <c r="R69" i="21" s="1"/>
  <c r="Q34" i="21"/>
  <c r="Q69" i="21" s="1"/>
  <c r="P34" i="21"/>
  <c r="O34" i="21"/>
  <c r="G34" i="21"/>
  <c r="W69" i="21" s="1"/>
  <c r="F34" i="21"/>
  <c r="E34" i="21"/>
  <c r="U69" i="21" s="1"/>
  <c r="V30" i="21"/>
  <c r="U30" i="21"/>
  <c r="S30" i="21"/>
  <c r="S65" i="21" s="1"/>
  <c r="AA65" i="21" s="1"/>
  <c r="R30" i="21"/>
  <c r="R65" i="21" s="1"/>
  <c r="Z65" i="21" s="1"/>
  <c r="Q30" i="21"/>
  <c r="P30" i="21"/>
  <c r="O30" i="21"/>
  <c r="N30" i="21"/>
  <c r="G30" i="21"/>
  <c r="F30" i="21"/>
  <c r="E30" i="21"/>
  <c r="V28" i="21"/>
  <c r="U28" i="21"/>
  <c r="S28" i="21"/>
  <c r="S63" i="21" s="1"/>
  <c r="R28" i="21"/>
  <c r="R63" i="21" s="1"/>
  <c r="Q28" i="21"/>
  <c r="Q63" i="21" s="1"/>
  <c r="P28" i="21"/>
  <c r="O28" i="21"/>
  <c r="N28" i="21"/>
  <c r="G28" i="21"/>
  <c r="W63" i="21" s="1"/>
  <c r="F28" i="21"/>
  <c r="E28" i="21"/>
  <c r="V26" i="21"/>
  <c r="U26" i="21"/>
  <c r="S26" i="21"/>
  <c r="R26" i="21"/>
  <c r="Q26" i="21"/>
  <c r="Q65" i="21" s="1"/>
  <c r="Y65" i="21" s="1"/>
  <c r="P26" i="21"/>
  <c r="O26" i="21"/>
  <c r="N26" i="21"/>
  <c r="G26" i="21"/>
  <c r="F26" i="21"/>
  <c r="E26" i="21"/>
  <c r="V24" i="21"/>
  <c r="U24" i="21"/>
  <c r="S24" i="21"/>
  <c r="S61" i="21" s="1"/>
  <c r="AA61" i="21" s="1"/>
  <c r="AE61" i="21" s="1"/>
  <c r="R24" i="21"/>
  <c r="R61" i="21" s="1"/>
  <c r="Z61" i="21" s="1"/>
  <c r="AD61" i="21" s="1"/>
  <c r="Q24" i="21"/>
  <c r="Q61" i="21" s="1"/>
  <c r="Y61" i="21" s="1"/>
  <c r="AC61" i="21" s="1"/>
  <c r="P24" i="21"/>
  <c r="O24" i="21"/>
  <c r="N24" i="21"/>
  <c r="G24" i="21"/>
  <c r="F24" i="21"/>
  <c r="E24" i="21"/>
  <c r="U61" i="21" s="1"/>
  <c r="A24" i="21"/>
  <c r="A34" i="21" s="1"/>
  <c r="N34" i="21" s="1"/>
  <c r="V20" i="21"/>
  <c r="U20" i="21"/>
  <c r="P20" i="21"/>
  <c r="O20" i="21"/>
  <c r="N20" i="21"/>
  <c r="G20" i="21"/>
  <c r="F20" i="21"/>
  <c r="E20" i="21"/>
  <c r="V18" i="21"/>
  <c r="U18" i="21"/>
  <c r="S18" i="21"/>
  <c r="R18" i="21"/>
  <c r="Q18" i="21"/>
  <c r="P18" i="21"/>
  <c r="O18" i="21"/>
  <c r="N18" i="21"/>
  <c r="G18" i="21"/>
  <c r="F18" i="21"/>
  <c r="E18" i="21"/>
  <c r="V16" i="21"/>
  <c r="U16" i="21"/>
  <c r="S16" i="21"/>
  <c r="S55" i="21" s="1"/>
  <c r="AA55" i="21" s="1"/>
  <c r="R16" i="21"/>
  <c r="R55" i="21" s="1"/>
  <c r="Z55" i="21" s="1"/>
  <c r="Q16" i="21"/>
  <c r="Q55" i="21" s="1"/>
  <c r="Y55" i="21" s="1"/>
  <c r="P16" i="21"/>
  <c r="O16" i="21"/>
  <c r="N16" i="21"/>
  <c r="G16" i="21"/>
  <c r="W55" i="21" s="1"/>
  <c r="F16" i="21"/>
  <c r="E16" i="21"/>
  <c r="A16" i="21"/>
  <c r="V12" i="21"/>
  <c r="U12" i="21"/>
  <c r="S12" i="21"/>
  <c r="S51" i="21" s="1"/>
  <c r="R12" i="21"/>
  <c r="R51" i="21" s="1"/>
  <c r="Z51" i="21" s="1"/>
  <c r="Q12" i="21"/>
  <c r="Q51" i="21" s="1"/>
  <c r="Y51" i="21" s="1"/>
  <c r="P12" i="21"/>
  <c r="O12" i="21"/>
  <c r="N12" i="21"/>
  <c r="G12" i="21"/>
  <c r="W51" i="21" s="1"/>
  <c r="F12" i="21"/>
  <c r="E12" i="21"/>
  <c r="V10" i="21"/>
  <c r="U10" i="21"/>
  <c r="S10" i="21"/>
  <c r="R10" i="21"/>
  <c r="Q10" i="21"/>
  <c r="P10" i="21"/>
  <c r="O10" i="21"/>
  <c r="N10" i="21"/>
  <c r="G10" i="21"/>
  <c r="F10" i="21"/>
  <c r="E10" i="21"/>
  <c r="V8" i="21"/>
  <c r="U8" i="21"/>
  <c r="S8" i="21"/>
  <c r="S49" i="21" s="1"/>
  <c r="AA49" i="21" s="1"/>
  <c r="R8" i="21"/>
  <c r="Q8" i="21"/>
  <c r="Q49" i="21" s="1"/>
  <c r="P8" i="21"/>
  <c r="O8" i="21"/>
  <c r="N8" i="21"/>
  <c r="G8" i="21"/>
  <c r="F8" i="21"/>
  <c r="E8" i="21"/>
  <c r="AC5" i="21"/>
  <c r="AB5" i="21"/>
  <c r="AG4" i="21"/>
  <c r="AH3" i="21" s="1"/>
  <c r="AF4" i="21"/>
  <c r="AH2" i="21" s="1"/>
  <c r="AC4" i="21"/>
  <c r="AB4" i="21"/>
  <c r="AC3" i="21"/>
  <c r="AB3" i="21"/>
  <c r="AC2" i="21"/>
  <c r="AB2" i="21"/>
  <c r="K71" i="20"/>
  <c r="I71" i="20"/>
  <c r="C71" i="20"/>
  <c r="A71" i="20"/>
  <c r="R69" i="20"/>
  <c r="K69" i="20"/>
  <c r="I69" i="20"/>
  <c r="C69" i="20"/>
  <c r="A69" i="20"/>
  <c r="S65" i="20"/>
  <c r="K65" i="20"/>
  <c r="I65" i="20"/>
  <c r="C65" i="20"/>
  <c r="A65" i="20"/>
  <c r="K63" i="20"/>
  <c r="I63" i="20"/>
  <c r="C63" i="20"/>
  <c r="A63" i="20"/>
  <c r="K61" i="20"/>
  <c r="I61" i="20"/>
  <c r="C61" i="20"/>
  <c r="A61" i="20"/>
  <c r="K57" i="20"/>
  <c r="I57" i="20"/>
  <c r="C57" i="20"/>
  <c r="A57" i="20"/>
  <c r="R55" i="20"/>
  <c r="Z55" i="20" s="1"/>
  <c r="Q55" i="20"/>
  <c r="Y55" i="20" s="1"/>
  <c r="K55" i="20"/>
  <c r="I55" i="20"/>
  <c r="C55" i="20"/>
  <c r="A55" i="20"/>
  <c r="S51" i="20"/>
  <c r="R51" i="20"/>
  <c r="K51" i="20"/>
  <c r="I51" i="20"/>
  <c r="H51" i="20"/>
  <c r="U51" i="20"/>
  <c r="C51" i="20"/>
  <c r="A51" i="20"/>
  <c r="K49" i="20"/>
  <c r="I49" i="20"/>
  <c r="C49" i="20"/>
  <c r="A49" i="20"/>
  <c r="V38" i="20"/>
  <c r="U38" i="20"/>
  <c r="S38" i="20"/>
  <c r="S71" i="20" s="1"/>
  <c r="R38" i="20"/>
  <c r="R71" i="20" s="1"/>
  <c r="Q38" i="20"/>
  <c r="Q71" i="20" s="1"/>
  <c r="P38" i="20"/>
  <c r="O38" i="20"/>
  <c r="N38" i="20"/>
  <c r="G38" i="20"/>
  <c r="W71" i="20" s="1"/>
  <c r="F38" i="20"/>
  <c r="E38" i="20"/>
  <c r="V36" i="20"/>
  <c r="U36" i="20"/>
  <c r="S36" i="20"/>
  <c r="R36" i="20"/>
  <c r="Q36" i="20"/>
  <c r="P36" i="20"/>
  <c r="O36" i="20"/>
  <c r="N36" i="20"/>
  <c r="G36" i="20"/>
  <c r="F36" i="20"/>
  <c r="E36" i="20"/>
  <c r="V34" i="20"/>
  <c r="U34" i="20"/>
  <c r="S34" i="20"/>
  <c r="S69" i="20" s="1"/>
  <c r="R34" i="20"/>
  <c r="Q34" i="20"/>
  <c r="Q69" i="20" s="1"/>
  <c r="P34" i="20"/>
  <c r="O34" i="20"/>
  <c r="N34" i="20"/>
  <c r="G34" i="20"/>
  <c r="F34" i="20"/>
  <c r="V69" i="20" s="1"/>
  <c r="E34" i="20"/>
  <c r="U69" i="20" s="1"/>
  <c r="V30" i="20"/>
  <c r="U30" i="20"/>
  <c r="S30" i="20"/>
  <c r="R30" i="20"/>
  <c r="R65" i="20" s="1"/>
  <c r="Z65" i="20" s="1"/>
  <c r="Q30" i="20"/>
  <c r="Q65" i="20" s="1"/>
  <c r="Y65" i="20" s="1"/>
  <c r="P30" i="20"/>
  <c r="O30" i="20"/>
  <c r="N30" i="20"/>
  <c r="G30" i="20"/>
  <c r="W65" i="20" s="1"/>
  <c r="F30" i="20"/>
  <c r="V65" i="20" s="1"/>
  <c r="E30" i="20"/>
  <c r="V28" i="20"/>
  <c r="U28" i="20"/>
  <c r="S28" i="20"/>
  <c r="S63" i="20" s="1"/>
  <c r="R28" i="20"/>
  <c r="R63" i="20" s="1"/>
  <c r="Q28" i="20"/>
  <c r="Q63" i="20" s="1"/>
  <c r="P28" i="20"/>
  <c r="O28" i="20"/>
  <c r="N28" i="20"/>
  <c r="G28" i="20"/>
  <c r="F28" i="20"/>
  <c r="E28" i="20"/>
  <c r="V26" i="20"/>
  <c r="U26" i="20"/>
  <c r="S26" i="20"/>
  <c r="R26" i="20"/>
  <c r="Q26" i="20"/>
  <c r="P26" i="20"/>
  <c r="O26" i="20"/>
  <c r="N26" i="20"/>
  <c r="G26" i="20"/>
  <c r="F26" i="20"/>
  <c r="E26" i="20"/>
  <c r="U65" i="20" s="1"/>
  <c r="V24" i="20"/>
  <c r="U24" i="20"/>
  <c r="S24" i="20"/>
  <c r="S61" i="20" s="1"/>
  <c r="R24" i="20"/>
  <c r="R61" i="20" s="1"/>
  <c r="Z61" i="20" s="1"/>
  <c r="AD61" i="20" s="1"/>
  <c r="Q24" i="20"/>
  <c r="Q61" i="20" s="1"/>
  <c r="Y61" i="20" s="1"/>
  <c r="AC61" i="20" s="1"/>
  <c r="P24" i="20"/>
  <c r="O24" i="20"/>
  <c r="N24" i="20"/>
  <c r="G24" i="20"/>
  <c r="W61" i="20" s="1"/>
  <c r="F24" i="20"/>
  <c r="E24" i="20"/>
  <c r="V20" i="20"/>
  <c r="U20" i="20"/>
  <c r="S20" i="20"/>
  <c r="S57" i="20" s="1"/>
  <c r="AA57" i="20" s="1"/>
  <c r="R20" i="20"/>
  <c r="R57" i="20" s="1"/>
  <c r="Z57" i="20" s="1"/>
  <c r="Q20" i="20"/>
  <c r="Q57" i="20" s="1"/>
  <c r="Y57" i="20" s="1"/>
  <c r="P20" i="20"/>
  <c r="O20" i="20"/>
  <c r="N20" i="20"/>
  <c r="G20" i="20"/>
  <c r="W57" i="20" s="1"/>
  <c r="F20" i="20"/>
  <c r="E20" i="20"/>
  <c r="V18" i="20"/>
  <c r="U18" i="20"/>
  <c r="S18" i="20"/>
  <c r="R18" i="20"/>
  <c r="Q18" i="20"/>
  <c r="P18" i="20"/>
  <c r="O18" i="20"/>
  <c r="N18" i="20"/>
  <c r="G18" i="20"/>
  <c r="F18" i="20"/>
  <c r="E18" i="20"/>
  <c r="V16" i="20"/>
  <c r="U16" i="20"/>
  <c r="S16" i="20"/>
  <c r="S55" i="20" s="1"/>
  <c r="R16" i="20"/>
  <c r="Q16" i="20"/>
  <c r="P16" i="20"/>
  <c r="O16" i="20"/>
  <c r="N16" i="20"/>
  <c r="G16" i="20"/>
  <c r="F16" i="20"/>
  <c r="V55" i="20" s="1"/>
  <c r="E16" i="20"/>
  <c r="U55" i="20" s="1"/>
  <c r="V12" i="20"/>
  <c r="U12" i="20"/>
  <c r="S12" i="20"/>
  <c r="R12" i="20"/>
  <c r="Q12" i="20"/>
  <c r="Q51" i="20" s="1"/>
  <c r="Y51" i="20" s="1"/>
  <c r="P12" i="20"/>
  <c r="O12" i="20"/>
  <c r="N12" i="20"/>
  <c r="G12" i="20"/>
  <c r="W51" i="20" s="1"/>
  <c r="F12" i="20"/>
  <c r="V51" i="20" s="1"/>
  <c r="E12" i="20"/>
  <c r="V10" i="20"/>
  <c r="U10" i="20"/>
  <c r="S10" i="20"/>
  <c r="R10" i="20"/>
  <c r="Q10" i="20"/>
  <c r="P10" i="20"/>
  <c r="O10" i="20"/>
  <c r="N10" i="20"/>
  <c r="G10" i="20"/>
  <c r="F10" i="20"/>
  <c r="E10" i="20"/>
  <c r="V8" i="20"/>
  <c r="U8" i="20"/>
  <c r="S8" i="20"/>
  <c r="S49" i="20" s="1"/>
  <c r="AA49" i="20" s="1"/>
  <c r="R8" i="20"/>
  <c r="R49" i="20" s="1"/>
  <c r="Z49" i="20" s="1"/>
  <c r="Q8" i="20"/>
  <c r="Q49" i="20" s="1"/>
  <c r="Y49" i="20" s="1"/>
  <c r="AC49" i="20" s="1"/>
  <c r="P8" i="20"/>
  <c r="O8" i="20"/>
  <c r="N8" i="20"/>
  <c r="G8" i="20"/>
  <c r="F8" i="20"/>
  <c r="E8" i="20"/>
  <c r="AC5" i="20"/>
  <c r="AB5" i="20"/>
  <c r="AG4" i="20"/>
  <c r="AH3" i="20" s="1"/>
  <c r="AF4" i="20"/>
  <c r="AH2" i="20" s="1"/>
  <c r="AC4" i="20"/>
  <c r="AB4" i="20"/>
  <c r="AC3" i="20"/>
  <c r="AB3" i="20"/>
  <c r="AC2" i="20"/>
  <c r="AB2" i="20"/>
  <c r="K100" i="19"/>
  <c r="I100" i="19"/>
  <c r="AA74" i="19"/>
  <c r="V100" i="19"/>
  <c r="C100" i="19"/>
  <c r="A100" i="19"/>
  <c r="Q98" i="19"/>
  <c r="K98" i="19"/>
  <c r="I98" i="19"/>
  <c r="V98" i="19"/>
  <c r="U98" i="19"/>
  <c r="C98" i="19"/>
  <c r="A98" i="19"/>
  <c r="S96" i="19"/>
  <c r="K96" i="19"/>
  <c r="I96" i="19"/>
  <c r="W96" i="19"/>
  <c r="V96" i="19"/>
  <c r="Y72" i="19"/>
  <c r="C96" i="19"/>
  <c r="A96" i="19"/>
  <c r="K94" i="19"/>
  <c r="I94" i="19"/>
  <c r="C94" i="19"/>
  <c r="A94" i="19"/>
  <c r="Y90" i="19"/>
  <c r="K90" i="19"/>
  <c r="I90" i="19"/>
  <c r="C90" i="19"/>
  <c r="A90" i="19"/>
  <c r="S89" i="19"/>
  <c r="R89" i="19"/>
  <c r="Y88" i="19"/>
  <c r="K88" i="19"/>
  <c r="I88" i="19"/>
  <c r="AA88" i="19"/>
  <c r="C88" i="19"/>
  <c r="A88" i="19"/>
  <c r="S87" i="19"/>
  <c r="R87" i="19"/>
  <c r="Z86" i="19"/>
  <c r="Y86" i="19"/>
  <c r="AC86" i="19" s="1"/>
  <c r="K86" i="19"/>
  <c r="I86" i="19"/>
  <c r="C86" i="19"/>
  <c r="A86" i="19"/>
  <c r="S83" i="19"/>
  <c r="Y82" i="19"/>
  <c r="K82" i="19"/>
  <c r="I82" i="19"/>
  <c r="W82" i="19"/>
  <c r="Z82" i="19"/>
  <c r="C82" i="19"/>
  <c r="A82" i="19"/>
  <c r="S81" i="19"/>
  <c r="AA80" i="19"/>
  <c r="S80" i="19"/>
  <c r="K80" i="19"/>
  <c r="I80" i="19"/>
  <c r="W80" i="19"/>
  <c r="Z80" i="19"/>
  <c r="C80" i="19"/>
  <c r="A80" i="19"/>
  <c r="S79" i="19"/>
  <c r="K78" i="19"/>
  <c r="I78" i="19"/>
  <c r="AA78" i="19"/>
  <c r="Z78" i="19"/>
  <c r="C78" i="19"/>
  <c r="A78" i="19"/>
  <c r="S75" i="19"/>
  <c r="S74" i="19"/>
  <c r="K74" i="19"/>
  <c r="I74" i="19"/>
  <c r="W74" i="19"/>
  <c r="C74" i="19"/>
  <c r="A74" i="19"/>
  <c r="S73" i="19"/>
  <c r="R73" i="19"/>
  <c r="AA72" i="19"/>
  <c r="R72" i="19"/>
  <c r="Q72" i="19"/>
  <c r="K72" i="19"/>
  <c r="I72" i="19"/>
  <c r="Z72" i="19"/>
  <c r="U72" i="19"/>
  <c r="C72" i="19"/>
  <c r="A72" i="19"/>
  <c r="S71" i="19"/>
  <c r="R71" i="19"/>
  <c r="Z70" i="19"/>
  <c r="S70" i="19"/>
  <c r="R70" i="19"/>
  <c r="K70" i="19"/>
  <c r="I70" i="19"/>
  <c r="AA70" i="19"/>
  <c r="AE70" i="19" s="1"/>
  <c r="V70" i="19"/>
  <c r="Y70" i="19"/>
  <c r="C70" i="19"/>
  <c r="A70" i="19"/>
  <c r="S67" i="19"/>
  <c r="R67" i="19"/>
  <c r="R66" i="19"/>
  <c r="Q66" i="19"/>
  <c r="K66" i="19"/>
  <c r="I66" i="19"/>
  <c r="Z66" i="19"/>
  <c r="Y66" i="19"/>
  <c r="C66" i="19"/>
  <c r="A66" i="19"/>
  <c r="S65" i="19"/>
  <c r="S64" i="19"/>
  <c r="R64" i="19"/>
  <c r="K64" i="19"/>
  <c r="I64" i="19"/>
  <c r="AA64" i="19"/>
  <c r="Z64" i="19"/>
  <c r="Y64" i="19"/>
  <c r="C64" i="19"/>
  <c r="A64" i="19"/>
  <c r="V54" i="19"/>
  <c r="U54" i="19"/>
  <c r="S54" i="19"/>
  <c r="S100" i="19" s="1"/>
  <c r="R54" i="19"/>
  <c r="R100" i="19" s="1"/>
  <c r="Q54" i="19"/>
  <c r="Q100" i="19" s="1"/>
  <c r="P54" i="19"/>
  <c r="O54" i="19"/>
  <c r="N54" i="19"/>
  <c r="V52" i="19"/>
  <c r="U52" i="19"/>
  <c r="S52" i="19"/>
  <c r="S98" i="19" s="1"/>
  <c r="R52" i="19"/>
  <c r="R98" i="19" s="1"/>
  <c r="Q52" i="19"/>
  <c r="P52" i="19"/>
  <c r="O52" i="19"/>
  <c r="N52" i="19"/>
  <c r="V50" i="19"/>
  <c r="U50" i="19"/>
  <c r="S50" i="19"/>
  <c r="R50" i="19"/>
  <c r="R96" i="19" s="1"/>
  <c r="Q50" i="19"/>
  <c r="Q96" i="19" s="1"/>
  <c r="P50" i="19"/>
  <c r="O50" i="19"/>
  <c r="N50" i="19"/>
  <c r="V48" i="19"/>
  <c r="U48" i="19"/>
  <c r="S48" i="19"/>
  <c r="R48" i="19"/>
  <c r="Q48" i="19"/>
  <c r="P48" i="19"/>
  <c r="O48" i="19"/>
  <c r="N48" i="19"/>
  <c r="V46" i="19"/>
  <c r="U46" i="19"/>
  <c r="S46" i="19"/>
  <c r="S94" i="19" s="1"/>
  <c r="R46" i="19"/>
  <c r="R94" i="19" s="1"/>
  <c r="Q46" i="19"/>
  <c r="Q94" i="19" s="1"/>
  <c r="P46" i="19"/>
  <c r="O46" i="19"/>
  <c r="N46" i="19"/>
  <c r="V42" i="19"/>
  <c r="U42" i="19"/>
  <c r="S42" i="19"/>
  <c r="S90" i="19" s="1"/>
  <c r="R42" i="19"/>
  <c r="R90" i="19" s="1"/>
  <c r="Q42" i="19"/>
  <c r="Q90" i="19" s="1"/>
  <c r="P42" i="19"/>
  <c r="O42" i="19"/>
  <c r="N42" i="19"/>
  <c r="V40" i="19"/>
  <c r="U40" i="19"/>
  <c r="S40" i="19"/>
  <c r="S88" i="19" s="1"/>
  <c r="R40" i="19"/>
  <c r="R88" i="19" s="1"/>
  <c r="Q40" i="19"/>
  <c r="Q88" i="19" s="1"/>
  <c r="P40" i="19"/>
  <c r="O40" i="19"/>
  <c r="N40" i="19"/>
  <c r="V38" i="19"/>
  <c r="U38" i="19"/>
  <c r="S38" i="19"/>
  <c r="R38" i="19"/>
  <c r="Q38" i="19"/>
  <c r="P38" i="19"/>
  <c r="O38" i="19"/>
  <c r="N38" i="19"/>
  <c r="V36" i="19"/>
  <c r="U36" i="19"/>
  <c r="S36" i="19"/>
  <c r="S86" i="19" s="1"/>
  <c r="R36" i="19"/>
  <c r="R86" i="19" s="1"/>
  <c r="Q36" i="19"/>
  <c r="Q86" i="19" s="1"/>
  <c r="P36" i="19"/>
  <c r="O36" i="19"/>
  <c r="N36" i="19"/>
  <c r="V32" i="19"/>
  <c r="U32" i="19"/>
  <c r="S32" i="19"/>
  <c r="S82" i="19" s="1"/>
  <c r="R32" i="19"/>
  <c r="R82" i="19" s="1"/>
  <c r="Q32" i="19"/>
  <c r="Q82" i="19" s="1"/>
  <c r="P32" i="19"/>
  <c r="O32" i="19"/>
  <c r="N32" i="19"/>
  <c r="V30" i="19"/>
  <c r="U30" i="19"/>
  <c r="S30" i="19"/>
  <c r="R30" i="19"/>
  <c r="R80" i="19" s="1"/>
  <c r="Q30" i="19"/>
  <c r="Q80" i="19" s="1"/>
  <c r="P30" i="19"/>
  <c r="O30" i="19"/>
  <c r="N30" i="19"/>
  <c r="V28" i="19"/>
  <c r="U28" i="19"/>
  <c r="S28" i="19"/>
  <c r="R28" i="19"/>
  <c r="Q28" i="19"/>
  <c r="P28" i="19"/>
  <c r="O28" i="19"/>
  <c r="N28" i="19"/>
  <c r="V26" i="19"/>
  <c r="U26" i="19"/>
  <c r="S26" i="19"/>
  <c r="S78" i="19" s="1"/>
  <c r="R26" i="19"/>
  <c r="R78" i="19" s="1"/>
  <c r="Q26" i="19"/>
  <c r="Q78" i="19" s="1"/>
  <c r="P26" i="19"/>
  <c r="O26" i="19"/>
  <c r="N26" i="19"/>
  <c r="V22" i="19"/>
  <c r="U22" i="19"/>
  <c r="S22" i="19"/>
  <c r="R22" i="19"/>
  <c r="R74" i="19" s="1"/>
  <c r="Q22" i="19"/>
  <c r="Q74" i="19" s="1"/>
  <c r="P22" i="19"/>
  <c r="O22" i="19"/>
  <c r="N22" i="19"/>
  <c r="V20" i="19"/>
  <c r="U20" i="19"/>
  <c r="S20" i="19"/>
  <c r="S72" i="19" s="1"/>
  <c r="R20" i="19"/>
  <c r="Q20" i="19"/>
  <c r="P20" i="19"/>
  <c r="O20" i="19"/>
  <c r="N20" i="19"/>
  <c r="V18" i="19"/>
  <c r="U18" i="19"/>
  <c r="S18" i="19"/>
  <c r="R18" i="19"/>
  <c r="Q18" i="19"/>
  <c r="P18" i="19"/>
  <c r="O18" i="19"/>
  <c r="N18" i="19"/>
  <c r="V16" i="19"/>
  <c r="U16" i="19"/>
  <c r="S16" i="19"/>
  <c r="R16" i="19"/>
  <c r="Q16" i="19"/>
  <c r="Q70" i="19" s="1"/>
  <c r="P16" i="19"/>
  <c r="O16" i="19"/>
  <c r="N16" i="19"/>
  <c r="V12" i="19"/>
  <c r="U12" i="19"/>
  <c r="S12" i="19"/>
  <c r="S66" i="19" s="1"/>
  <c r="R12" i="19"/>
  <c r="Q12" i="19"/>
  <c r="P12" i="19"/>
  <c r="O12" i="19"/>
  <c r="N12" i="19"/>
  <c r="V10" i="19"/>
  <c r="U10" i="19"/>
  <c r="S10" i="19"/>
  <c r="R10" i="19"/>
  <c r="Q10" i="19"/>
  <c r="P10" i="19"/>
  <c r="O10" i="19"/>
  <c r="N10" i="19"/>
  <c r="V8" i="19"/>
  <c r="U8" i="19"/>
  <c r="S8" i="19"/>
  <c r="R8" i="19"/>
  <c r="Q8" i="19"/>
  <c r="Q64" i="19" s="1"/>
  <c r="P8" i="19"/>
  <c r="O8" i="19"/>
  <c r="N8" i="19"/>
  <c r="AC5" i="19"/>
  <c r="AB5" i="19"/>
  <c r="AG4" i="19"/>
  <c r="AF4" i="19"/>
  <c r="AH2" i="19" s="1"/>
  <c r="AC4" i="19"/>
  <c r="AB4" i="19"/>
  <c r="AH3" i="19"/>
  <c r="AC3" i="19"/>
  <c r="AB3" i="19"/>
  <c r="AC2" i="19"/>
  <c r="AB2" i="19"/>
  <c r="Z72" i="18"/>
  <c r="V80" i="18"/>
  <c r="Y72" i="18"/>
  <c r="Y58" i="18"/>
  <c r="W56" i="18"/>
  <c r="Z56" i="18"/>
  <c r="K86" i="18"/>
  <c r="I86" i="18"/>
  <c r="C86" i="18"/>
  <c r="A86" i="18"/>
  <c r="S85" i="18"/>
  <c r="R85" i="18"/>
  <c r="K84" i="18"/>
  <c r="I84" i="18"/>
  <c r="C84" i="18"/>
  <c r="A84" i="18"/>
  <c r="Q82" i="18"/>
  <c r="K82" i="18"/>
  <c r="I82" i="18"/>
  <c r="V82" i="18"/>
  <c r="U82" i="18"/>
  <c r="C82" i="18"/>
  <c r="A82" i="18"/>
  <c r="S80" i="18"/>
  <c r="K80" i="18"/>
  <c r="I80" i="18"/>
  <c r="W80" i="18"/>
  <c r="C80" i="18"/>
  <c r="A80" i="18"/>
  <c r="Q78" i="18"/>
  <c r="K78" i="18"/>
  <c r="I78" i="18"/>
  <c r="W78" i="18"/>
  <c r="U78" i="18"/>
  <c r="C78" i="18"/>
  <c r="A78" i="18"/>
  <c r="Y74" i="18"/>
  <c r="K74" i="18"/>
  <c r="I74" i="18"/>
  <c r="C74" i="18"/>
  <c r="A74" i="18"/>
  <c r="K72" i="18"/>
  <c r="I72" i="18"/>
  <c r="C72" i="18"/>
  <c r="A72" i="18"/>
  <c r="S70" i="18"/>
  <c r="K70" i="18"/>
  <c r="I70" i="18"/>
  <c r="W70" i="18"/>
  <c r="V70" i="18"/>
  <c r="C70" i="18"/>
  <c r="A70" i="18"/>
  <c r="K68" i="18"/>
  <c r="I68" i="18"/>
  <c r="C68" i="18"/>
  <c r="A68" i="18"/>
  <c r="R65" i="18"/>
  <c r="S65" i="18"/>
  <c r="K64" i="18"/>
  <c r="I64" i="18"/>
  <c r="C64" i="18"/>
  <c r="A64" i="18"/>
  <c r="S63" i="18"/>
  <c r="R63" i="18"/>
  <c r="Q62" i="18"/>
  <c r="K62" i="18"/>
  <c r="I62" i="18"/>
  <c r="C62" i="18"/>
  <c r="A62" i="18"/>
  <c r="R59" i="18"/>
  <c r="K58" i="18"/>
  <c r="I58" i="18"/>
  <c r="C58" i="18"/>
  <c r="A58" i="18"/>
  <c r="R57" i="18"/>
  <c r="Q56" i="18"/>
  <c r="K56" i="18"/>
  <c r="I56" i="18"/>
  <c r="C56" i="18"/>
  <c r="A56" i="18"/>
  <c r="V46" i="18"/>
  <c r="U46" i="18"/>
  <c r="S46" i="18"/>
  <c r="S86" i="18" s="1"/>
  <c r="R46" i="18"/>
  <c r="Q46" i="18"/>
  <c r="Q86" i="18" s="1"/>
  <c r="P46" i="18"/>
  <c r="O46" i="18"/>
  <c r="N46" i="18"/>
  <c r="V44" i="18"/>
  <c r="U44" i="18"/>
  <c r="S44" i="18"/>
  <c r="S84" i="18" s="1"/>
  <c r="R44" i="18"/>
  <c r="R84" i="18" s="1"/>
  <c r="Q44" i="18"/>
  <c r="Q84" i="18" s="1"/>
  <c r="P44" i="18"/>
  <c r="O44" i="18"/>
  <c r="N44" i="18"/>
  <c r="V42" i="18"/>
  <c r="U42" i="18"/>
  <c r="S42" i="18"/>
  <c r="S82" i="18" s="1"/>
  <c r="R42" i="18"/>
  <c r="R82" i="18" s="1"/>
  <c r="Q42" i="18"/>
  <c r="P42" i="18"/>
  <c r="O42" i="18"/>
  <c r="V40" i="18"/>
  <c r="U40" i="18"/>
  <c r="S40" i="18"/>
  <c r="R40" i="18"/>
  <c r="R80" i="18" s="1"/>
  <c r="Q40" i="18"/>
  <c r="Q80" i="18" s="1"/>
  <c r="P40" i="18"/>
  <c r="O40" i="18"/>
  <c r="N40" i="18"/>
  <c r="V38" i="18"/>
  <c r="U38" i="18"/>
  <c r="S38" i="18"/>
  <c r="R38" i="18"/>
  <c r="R86" i="18" s="1"/>
  <c r="Q38" i="18"/>
  <c r="P38" i="18"/>
  <c r="O38" i="18"/>
  <c r="N38" i="18"/>
  <c r="V36" i="18"/>
  <c r="U36" i="18"/>
  <c r="S36" i="18"/>
  <c r="S78" i="18" s="1"/>
  <c r="R36" i="18"/>
  <c r="R78" i="18" s="1"/>
  <c r="Q36" i="18"/>
  <c r="P36" i="18"/>
  <c r="O36" i="18"/>
  <c r="N36" i="18"/>
  <c r="V32" i="18"/>
  <c r="U32" i="18"/>
  <c r="S32" i="18"/>
  <c r="S74" i="18" s="1"/>
  <c r="R32" i="18"/>
  <c r="R74" i="18" s="1"/>
  <c r="Q32" i="18"/>
  <c r="Q74" i="18" s="1"/>
  <c r="P32" i="18"/>
  <c r="O32" i="18"/>
  <c r="N32" i="18"/>
  <c r="V30" i="18"/>
  <c r="U30" i="18"/>
  <c r="S30" i="18"/>
  <c r="S72" i="18" s="1"/>
  <c r="R30" i="18"/>
  <c r="R72" i="18" s="1"/>
  <c r="Q30" i="18"/>
  <c r="Q72" i="18" s="1"/>
  <c r="P30" i="18"/>
  <c r="O30" i="18"/>
  <c r="N30" i="18"/>
  <c r="V28" i="18"/>
  <c r="U28" i="18"/>
  <c r="S28" i="18"/>
  <c r="R28" i="18"/>
  <c r="R70" i="18" s="1"/>
  <c r="Q28" i="18"/>
  <c r="Q70" i="18" s="1"/>
  <c r="P28" i="18"/>
  <c r="O28" i="18"/>
  <c r="N28" i="18"/>
  <c r="V26" i="18"/>
  <c r="U26" i="18"/>
  <c r="S26" i="18"/>
  <c r="R26" i="18"/>
  <c r="Q26" i="18"/>
  <c r="P26" i="18"/>
  <c r="O26" i="18"/>
  <c r="N26" i="18"/>
  <c r="V24" i="18"/>
  <c r="U24" i="18"/>
  <c r="S24" i="18"/>
  <c r="S68" i="18" s="1"/>
  <c r="R24" i="18"/>
  <c r="R68" i="18" s="1"/>
  <c r="Q24" i="18"/>
  <c r="Q68" i="18" s="1"/>
  <c r="P24" i="18"/>
  <c r="O24" i="18"/>
  <c r="N24" i="18"/>
  <c r="V20" i="18"/>
  <c r="U20" i="18"/>
  <c r="S20" i="18"/>
  <c r="S64" i="18" s="1"/>
  <c r="R20" i="18"/>
  <c r="R64" i="18" s="1"/>
  <c r="Q20" i="18"/>
  <c r="Q64" i="18" s="1"/>
  <c r="P20" i="18"/>
  <c r="O20" i="18"/>
  <c r="N20" i="18"/>
  <c r="V18" i="18"/>
  <c r="U18" i="18"/>
  <c r="S18" i="18"/>
  <c r="R18" i="18"/>
  <c r="Q18" i="18"/>
  <c r="P18" i="18"/>
  <c r="O18" i="18"/>
  <c r="N18" i="18"/>
  <c r="V16" i="18"/>
  <c r="U16" i="18"/>
  <c r="S16" i="18"/>
  <c r="S62" i="18" s="1"/>
  <c r="R16" i="18"/>
  <c r="R62" i="18" s="1"/>
  <c r="Q16" i="18"/>
  <c r="P16" i="18"/>
  <c r="O16" i="18"/>
  <c r="N16" i="18"/>
  <c r="V12" i="18"/>
  <c r="U12" i="18"/>
  <c r="S12" i="18"/>
  <c r="S58" i="18" s="1"/>
  <c r="R12" i="18"/>
  <c r="R58" i="18" s="1"/>
  <c r="Q12" i="18"/>
  <c r="Q58" i="18" s="1"/>
  <c r="P12" i="18"/>
  <c r="O12" i="18"/>
  <c r="N12" i="18"/>
  <c r="V10" i="18"/>
  <c r="U10" i="18"/>
  <c r="S10" i="18"/>
  <c r="R10" i="18"/>
  <c r="Q10" i="18"/>
  <c r="P10" i="18"/>
  <c r="O10" i="18"/>
  <c r="N10" i="18"/>
  <c r="V8" i="18"/>
  <c r="U8" i="18"/>
  <c r="S8" i="18"/>
  <c r="S56" i="18" s="1"/>
  <c r="R8" i="18"/>
  <c r="R56" i="18" s="1"/>
  <c r="Q8" i="18"/>
  <c r="P8" i="18"/>
  <c r="O8" i="18"/>
  <c r="N8" i="18"/>
  <c r="AC5" i="18"/>
  <c r="AB5" i="18"/>
  <c r="AG4" i="18"/>
  <c r="AH3" i="18" s="1"/>
  <c r="AF4" i="18"/>
  <c r="AH2" i="18" s="1"/>
  <c r="AC4" i="18"/>
  <c r="AB4" i="18"/>
  <c r="AC3" i="18"/>
  <c r="AB3" i="18"/>
  <c r="AC2" i="18"/>
  <c r="AB2" i="18"/>
  <c r="S38" i="15"/>
  <c r="R38" i="15"/>
  <c r="Q38" i="15"/>
  <c r="AN10" i="16"/>
  <c r="AL10" i="16" a="1"/>
  <c r="AM10" i="16" s="1"/>
  <c r="BF10" i="16"/>
  <c r="X10" i="16" s="1"/>
  <c r="BE10" i="16"/>
  <c r="BD10" i="16"/>
  <c r="V10" i="16" s="1"/>
  <c r="S36" i="15"/>
  <c r="R36" i="15"/>
  <c r="R69" i="15" s="1"/>
  <c r="Q36" i="15"/>
  <c r="S34" i="15"/>
  <c r="R34" i="15"/>
  <c r="Q34" i="15"/>
  <c r="S30" i="15"/>
  <c r="R30" i="15"/>
  <c r="Q30" i="15"/>
  <c r="S28" i="15"/>
  <c r="R28" i="15"/>
  <c r="Q28" i="15"/>
  <c r="S26" i="15"/>
  <c r="R26" i="15"/>
  <c r="Q26" i="15"/>
  <c r="S24" i="15"/>
  <c r="R24" i="15"/>
  <c r="Q24" i="15"/>
  <c r="S18" i="15"/>
  <c r="R18" i="15"/>
  <c r="Q18" i="15"/>
  <c r="S16" i="15"/>
  <c r="R16" i="15"/>
  <c r="Q16" i="15"/>
  <c r="S12" i="15"/>
  <c r="R12" i="15"/>
  <c r="Q12" i="15"/>
  <c r="S10" i="15"/>
  <c r="R10" i="15"/>
  <c r="Q10" i="15"/>
  <c r="S8" i="15"/>
  <c r="R8" i="15"/>
  <c r="Q8" i="15"/>
  <c r="G38" i="15"/>
  <c r="F38" i="15"/>
  <c r="E38" i="15"/>
  <c r="G36" i="15"/>
  <c r="F36" i="15"/>
  <c r="E36" i="15"/>
  <c r="G34" i="15"/>
  <c r="F34" i="15"/>
  <c r="E34" i="15"/>
  <c r="G30" i="15"/>
  <c r="F30" i="15"/>
  <c r="E30" i="15"/>
  <c r="G28" i="15"/>
  <c r="F28" i="15"/>
  <c r="E28" i="15"/>
  <c r="G26" i="15"/>
  <c r="F26" i="15"/>
  <c r="E26" i="15"/>
  <c r="G24" i="15"/>
  <c r="F24" i="15"/>
  <c r="E24" i="15"/>
  <c r="G20" i="15"/>
  <c r="F20" i="15"/>
  <c r="E20" i="15"/>
  <c r="G18" i="15"/>
  <c r="F18" i="15"/>
  <c r="E18" i="15"/>
  <c r="G16" i="15"/>
  <c r="F16" i="15"/>
  <c r="E16" i="15"/>
  <c r="G12" i="15"/>
  <c r="G51" i="15" s="1"/>
  <c r="F12" i="15"/>
  <c r="E12" i="15"/>
  <c r="G10" i="15"/>
  <c r="F10" i="15"/>
  <c r="E10" i="15"/>
  <c r="G8" i="15"/>
  <c r="F8" i="15"/>
  <c r="E8" i="15"/>
  <c r="A34" i="15"/>
  <c r="A24" i="15"/>
  <c r="N24" i="15" s="1"/>
  <c r="A16" i="15"/>
  <c r="K71" i="17"/>
  <c r="I71" i="17"/>
  <c r="C71" i="17"/>
  <c r="A71" i="17"/>
  <c r="Q69" i="17"/>
  <c r="K69" i="17"/>
  <c r="I69" i="17"/>
  <c r="C69" i="17"/>
  <c r="A69" i="17"/>
  <c r="Q65" i="17"/>
  <c r="K65" i="17"/>
  <c r="I65" i="17"/>
  <c r="C65" i="17"/>
  <c r="A65" i="17"/>
  <c r="K63" i="17"/>
  <c r="I63" i="17"/>
  <c r="F63" i="17"/>
  <c r="E63" i="17"/>
  <c r="C63" i="17"/>
  <c r="A63" i="17"/>
  <c r="K61" i="17"/>
  <c r="I61" i="17"/>
  <c r="G61" i="17"/>
  <c r="W61" i="17" s="1"/>
  <c r="F61" i="17"/>
  <c r="V61" i="17" s="1"/>
  <c r="C61" i="17"/>
  <c r="A61" i="17"/>
  <c r="K57" i="17"/>
  <c r="I57" i="17"/>
  <c r="G57" i="17"/>
  <c r="C57" i="17"/>
  <c r="A57" i="17"/>
  <c r="K55" i="17"/>
  <c r="I55" i="17"/>
  <c r="C55" i="17"/>
  <c r="A55" i="17"/>
  <c r="Q51" i="17"/>
  <c r="K51" i="17"/>
  <c r="I51" i="17"/>
  <c r="H51" i="17"/>
  <c r="C51" i="17"/>
  <c r="A51" i="17"/>
  <c r="K49" i="17"/>
  <c r="I49" i="17"/>
  <c r="F49" i="17"/>
  <c r="C49" i="17"/>
  <c r="A49" i="17"/>
  <c r="V38" i="17"/>
  <c r="U38" i="17"/>
  <c r="S38" i="17"/>
  <c r="S71" i="17" s="1"/>
  <c r="R38" i="17"/>
  <c r="R71" i="17" s="1"/>
  <c r="Q38" i="17"/>
  <c r="Q71" i="17" s="1"/>
  <c r="P38" i="17"/>
  <c r="O38" i="17"/>
  <c r="N38" i="17"/>
  <c r="G38" i="17"/>
  <c r="F38" i="17"/>
  <c r="E38" i="17"/>
  <c r="E71" i="17" s="1"/>
  <c r="V36" i="17"/>
  <c r="U36" i="17"/>
  <c r="S36" i="17"/>
  <c r="R36" i="17"/>
  <c r="Q36" i="17"/>
  <c r="P36" i="17"/>
  <c r="O36" i="17"/>
  <c r="N36" i="17"/>
  <c r="G36" i="17"/>
  <c r="G71" i="17" s="1"/>
  <c r="W71" i="17" s="1"/>
  <c r="F36" i="17"/>
  <c r="F71" i="17" s="1"/>
  <c r="V71" i="17" s="1"/>
  <c r="E36" i="17"/>
  <c r="V34" i="17"/>
  <c r="U34" i="17"/>
  <c r="S34" i="17"/>
  <c r="S69" i="17" s="1"/>
  <c r="R34" i="17"/>
  <c r="R69" i="17" s="1"/>
  <c r="Q34" i="17"/>
  <c r="P34" i="17"/>
  <c r="O34" i="17"/>
  <c r="N34" i="17"/>
  <c r="G34" i="17"/>
  <c r="G69" i="17" s="1"/>
  <c r="F34" i="17"/>
  <c r="F69" i="17" s="1"/>
  <c r="E34" i="17"/>
  <c r="E69" i="17" s="1"/>
  <c r="U69" i="17" s="1"/>
  <c r="V30" i="17"/>
  <c r="U30" i="17"/>
  <c r="S30" i="17"/>
  <c r="S65" i="17" s="1"/>
  <c r="AA65" i="17" s="1"/>
  <c r="R30" i="17"/>
  <c r="R65" i="17" s="1"/>
  <c r="Z65" i="17" s="1"/>
  <c r="Q30" i="17"/>
  <c r="P30" i="17"/>
  <c r="O30" i="17"/>
  <c r="N30" i="17"/>
  <c r="G30" i="17"/>
  <c r="G65" i="17" s="1"/>
  <c r="W65" i="17" s="1"/>
  <c r="F30" i="17"/>
  <c r="F65" i="17" s="1"/>
  <c r="E30" i="17"/>
  <c r="E65" i="17" s="1"/>
  <c r="U65" i="17" s="1"/>
  <c r="V28" i="17"/>
  <c r="U28" i="17"/>
  <c r="S28" i="17"/>
  <c r="S63" i="17" s="1"/>
  <c r="R28" i="17"/>
  <c r="R63" i="17" s="1"/>
  <c r="Q28" i="17"/>
  <c r="Q63" i="17" s="1"/>
  <c r="P28" i="17"/>
  <c r="O28" i="17"/>
  <c r="N28" i="17"/>
  <c r="G28" i="17"/>
  <c r="G63" i="17" s="1"/>
  <c r="F28" i="17"/>
  <c r="E28" i="17"/>
  <c r="V26" i="17"/>
  <c r="U26" i="17"/>
  <c r="S26" i="17"/>
  <c r="R26" i="17"/>
  <c r="Q26" i="17"/>
  <c r="P26" i="17"/>
  <c r="O26" i="17"/>
  <c r="N26" i="17"/>
  <c r="G26" i="17"/>
  <c r="F26" i="17"/>
  <c r="E26" i="17"/>
  <c r="V24" i="17"/>
  <c r="U24" i="17"/>
  <c r="S24" i="17"/>
  <c r="S61" i="17" s="1"/>
  <c r="R24" i="17"/>
  <c r="R61" i="17" s="1"/>
  <c r="Q24" i="17"/>
  <c r="Q61" i="17" s="1"/>
  <c r="Y61" i="17" s="1"/>
  <c r="P24" i="17"/>
  <c r="O24" i="17"/>
  <c r="N24" i="17"/>
  <c r="G24" i="17"/>
  <c r="F24" i="17"/>
  <c r="E24" i="17"/>
  <c r="E61" i="17" s="1"/>
  <c r="V20" i="17"/>
  <c r="U20" i="17"/>
  <c r="S20" i="17"/>
  <c r="S57" i="17" s="1"/>
  <c r="AA57" i="17" s="1"/>
  <c r="R20" i="17"/>
  <c r="R57" i="17" s="1"/>
  <c r="Z57" i="17" s="1"/>
  <c r="Q20" i="17"/>
  <c r="Q57" i="17" s="1"/>
  <c r="Y57" i="17" s="1"/>
  <c r="P20" i="17"/>
  <c r="O20" i="17"/>
  <c r="N20" i="17"/>
  <c r="G20" i="17"/>
  <c r="F20" i="17"/>
  <c r="F57" i="17" s="1"/>
  <c r="V57" i="17" s="1"/>
  <c r="E20" i="17"/>
  <c r="E57" i="17" s="1"/>
  <c r="V18" i="17"/>
  <c r="U18" i="17"/>
  <c r="S18" i="17"/>
  <c r="R18" i="17"/>
  <c r="R55" i="17" s="1"/>
  <c r="Q18" i="17"/>
  <c r="P18" i="17"/>
  <c r="O18" i="17"/>
  <c r="N18" i="17"/>
  <c r="G18" i="17"/>
  <c r="F18" i="17"/>
  <c r="E18" i="17"/>
  <c r="V16" i="17"/>
  <c r="U16" i="17"/>
  <c r="S16" i="17"/>
  <c r="S55" i="17" s="1"/>
  <c r="R16" i="17"/>
  <c r="Q16" i="17"/>
  <c r="Q55" i="17" s="1"/>
  <c r="Y55" i="17" s="1"/>
  <c r="P16" i="17"/>
  <c r="O16" i="17"/>
  <c r="N16" i="17"/>
  <c r="G16" i="17"/>
  <c r="G55" i="17" s="1"/>
  <c r="W55" i="17" s="1"/>
  <c r="F16" i="17"/>
  <c r="F55" i="17" s="1"/>
  <c r="V55" i="17" s="1"/>
  <c r="E16" i="17"/>
  <c r="E55" i="17" s="1"/>
  <c r="V12" i="17"/>
  <c r="U12" i="17"/>
  <c r="S12" i="17"/>
  <c r="R12" i="17"/>
  <c r="R51" i="17" s="1"/>
  <c r="Z51" i="17" s="1"/>
  <c r="Q12" i="17"/>
  <c r="P12" i="17"/>
  <c r="O12" i="17"/>
  <c r="N12" i="17"/>
  <c r="G12" i="17"/>
  <c r="G51" i="17" s="1"/>
  <c r="W51" i="17" s="1"/>
  <c r="F12" i="17"/>
  <c r="F51" i="17" s="1"/>
  <c r="E12" i="17"/>
  <c r="V10" i="17"/>
  <c r="U10" i="17"/>
  <c r="S10" i="17"/>
  <c r="S51" i="17" s="1"/>
  <c r="AA51" i="17" s="1"/>
  <c r="R10" i="17"/>
  <c r="R49" i="17" s="1"/>
  <c r="Q10" i="17"/>
  <c r="P10" i="17"/>
  <c r="O10" i="17"/>
  <c r="N10" i="17"/>
  <c r="G10" i="17"/>
  <c r="F10" i="17"/>
  <c r="E10" i="17"/>
  <c r="E51" i="17" s="1"/>
  <c r="U51" i="17" s="1"/>
  <c r="V8" i="17"/>
  <c r="U8" i="17"/>
  <c r="S8" i="17"/>
  <c r="R8" i="17"/>
  <c r="Q8" i="17"/>
  <c r="Q49" i="17" s="1"/>
  <c r="Y49" i="17" s="1"/>
  <c r="P8" i="17"/>
  <c r="O8" i="17"/>
  <c r="N8" i="17"/>
  <c r="G8" i="17"/>
  <c r="G49" i="17" s="1"/>
  <c r="F8" i="17"/>
  <c r="E8" i="17"/>
  <c r="E49" i="17" s="1"/>
  <c r="U49" i="17" s="1"/>
  <c r="AC5" i="17"/>
  <c r="AB5" i="17"/>
  <c r="AG4" i="17"/>
  <c r="AH3" i="17" s="1"/>
  <c r="AF4" i="17"/>
  <c r="AC4" i="17"/>
  <c r="AB4" i="17"/>
  <c r="AC3" i="17"/>
  <c r="AB3" i="17"/>
  <c r="AH2" i="17"/>
  <c r="AC2" i="17"/>
  <c r="AB2" i="17"/>
  <c r="X15" i="16"/>
  <c r="W15" i="16"/>
  <c r="V15" i="16"/>
  <c r="W10" i="16"/>
  <c r="AI5" i="16"/>
  <c r="AH5" i="16"/>
  <c r="A28" i="16"/>
  <c r="A24" i="16"/>
  <c r="A22" i="16"/>
  <c r="H30" i="16"/>
  <c r="G30" i="16"/>
  <c r="F30" i="16"/>
  <c r="Q71" i="16"/>
  <c r="L69" i="16"/>
  <c r="K69" i="16"/>
  <c r="J69" i="16"/>
  <c r="H69" i="16"/>
  <c r="G69" i="16"/>
  <c r="F69" i="16"/>
  <c r="L68" i="16"/>
  <c r="K68" i="16"/>
  <c r="J68" i="16"/>
  <c r="H68" i="16"/>
  <c r="G68" i="16"/>
  <c r="F68" i="16"/>
  <c r="L67" i="16"/>
  <c r="K67" i="16"/>
  <c r="J67" i="16"/>
  <c r="H67" i="16"/>
  <c r="G67" i="16"/>
  <c r="F67" i="16"/>
  <c r="T66" i="16"/>
  <c r="S66" i="16"/>
  <c r="R66" i="16"/>
  <c r="P66" i="16"/>
  <c r="O66" i="16"/>
  <c r="N66" i="16"/>
  <c r="L66" i="16"/>
  <c r="K66" i="16"/>
  <c r="J66" i="16"/>
  <c r="H66" i="16"/>
  <c r="G66" i="16"/>
  <c r="F66" i="16"/>
  <c r="R61" i="16" a="1"/>
  <c r="T61" i="16" s="1"/>
  <c r="N61" i="16" a="1"/>
  <c r="N61" i="16" s="1"/>
  <c r="J61" i="16" a="1"/>
  <c r="L61" i="16" s="1"/>
  <c r="F61" i="16" a="1"/>
  <c r="F61" i="16" s="1"/>
  <c r="AM60" i="16" a="1"/>
  <c r="AO60" i="16" s="1"/>
  <c r="J60" i="16" a="1"/>
  <c r="L60" i="16" s="1"/>
  <c r="F60" i="16" a="1"/>
  <c r="H60" i="16" s="1"/>
  <c r="H74" i="16" s="1"/>
  <c r="AM59" i="16" a="1"/>
  <c r="AO59" i="16" s="1"/>
  <c r="J59" i="16" a="1"/>
  <c r="L59" i="16" s="1"/>
  <c r="L73" i="16" s="1"/>
  <c r="F59" i="16" a="1"/>
  <c r="F59" i="16" s="1"/>
  <c r="F73" i="16" s="1"/>
  <c r="AM57" i="16" a="1"/>
  <c r="AM57" i="16" s="1"/>
  <c r="J57" i="16" a="1"/>
  <c r="L57" i="16" s="1"/>
  <c r="F57" i="16" a="1"/>
  <c r="F57" i="16" s="1"/>
  <c r="F56" i="16" a="1"/>
  <c r="H56" i="16" s="1"/>
  <c r="H72" i="16" s="1"/>
  <c r="R54" i="16" a="1"/>
  <c r="S54" i="16" s="1"/>
  <c r="N54" i="16" a="1"/>
  <c r="P54" i="16" s="1"/>
  <c r="J54" i="16" a="1"/>
  <c r="J54" i="16" s="1"/>
  <c r="F54" i="16" a="1"/>
  <c r="H54" i="16" s="1"/>
  <c r="AM53" i="16" a="1"/>
  <c r="AO53" i="16" s="1"/>
  <c r="R53" i="16" a="1"/>
  <c r="T53" i="16" s="1"/>
  <c r="N53" i="16" a="1"/>
  <c r="P53" i="16" s="1"/>
  <c r="P71" i="16" s="1"/>
  <c r="J53" i="16" a="1"/>
  <c r="J53" i="16" s="1"/>
  <c r="J71" i="16" s="1"/>
  <c r="F53" i="16" a="1"/>
  <c r="H53" i="16" s="1"/>
  <c r="T47" i="16"/>
  <c r="S47" i="16"/>
  <c r="R47" i="16"/>
  <c r="P47" i="16"/>
  <c r="O47" i="16"/>
  <c r="N47" i="16"/>
  <c r="L47" i="16"/>
  <c r="K47" i="16"/>
  <c r="J47" i="16"/>
  <c r="H47" i="16"/>
  <c r="G47" i="16"/>
  <c r="F47" i="16"/>
  <c r="L46" i="16"/>
  <c r="K46" i="16"/>
  <c r="J46" i="16"/>
  <c r="AV45" i="16" a="1"/>
  <c r="AX45" i="16" s="1"/>
  <c r="AR45" i="16"/>
  <c r="AQ45" i="16"/>
  <c r="AP45" i="16"/>
  <c r="AO45" i="16"/>
  <c r="AN45" i="16"/>
  <c r="AM45" i="16"/>
  <c r="L45" i="16"/>
  <c r="K45" i="16"/>
  <c r="J45" i="16"/>
  <c r="T44" i="16"/>
  <c r="S44" i="16"/>
  <c r="R44" i="16"/>
  <c r="P44" i="16"/>
  <c r="O44" i="16"/>
  <c r="N44" i="16"/>
  <c r="L44" i="16"/>
  <c r="K44" i="16"/>
  <c r="J44" i="16"/>
  <c r="H44" i="16"/>
  <c r="G44" i="16"/>
  <c r="F44" i="16"/>
  <c r="H33" i="16"/>
  <c r="H32" i="16"/>
  <c r="G32" i="16"/>
  <c r="BR16" i="16"/>
  <c r="AJ16" i="16" s="1"/>
  <c r="BQ16" i="16"/>
  <c r="AI16" i="16" s="1"/>
  <c r="BP16" i="16"/>
  <c r="AH16" i="16" s="1"/>
  <c r="BN16" i="16"/>
  <c r="BM16" i="16"/>
  <c r="BL16" i="16"/>
  <c r="AF16" i="16"/>
  <c r="AE16" i="16"/>
  <c r="AD16" i="16"/>
  <c r="BR15" i="16"/>
  <c r="AJ15" i="16" s="1"/>
  <c r="BQ15" i="16"/>
  <c r="AI15" i="16" s="1"/>
  <c r="BP15" i="16"/>
  <c r="AH15" i="16" s="1"/>
  <c r="BN15" i="16"/>
  <c r="BM15" i="16"/>
  <c r="BL15" i="16"/>
  <c r="AD15" i="16" s="1"/>
  <c r="BJ15" i="16"/>
  <c r="BI15" i="16"/>
  <c r="BH15" i="16"/>
  <c r="BF15" i="16"/>
  <c r="BE15" i="16"/>
  <c r="BD15" i="16"/>
  <c r="AF15" i="16"/>
  <c r="AE15" i="16"/>
  <c r="BR13" i="16"/>
  <c r="BQ13" i="16"/>
  <c r="BP13" i="16"/>
  <c r="BN13" i="16"/>
  <c r="BM13" i="16"/>
  <c r="BL13" i="16"/>
  <c r="BJ13" i="16"/>
  <c r="BI13" i="16"/>
  <c r="BH13" i="16"/>
  <c r="BF13" i="16"/>
  <c r="BE13" i="16"/>
  <c r="BD13" i="16"/>
  <c r="BR12" i="16"/>
  <c r="BQ12" i="16"/>
  <c r="BP12" i="16"/>
  <c r="BN12" i="16"/>
  <c r="BM12" i="16"/>
  <c r="BL12" i="16"/>
  <c r="BJ12" i="16"/>
  <c r="BI12" i="16"/>
  <c r="BH12" i="16"/>
  <c r="BF12" i="16"/>
  <c r="BE12" i="16"/>
  <c r="BD12" i="16"/>
  <c r="BR10" i="16"/>
  <c r="BQ10" i="16"/>
  <c r="BP10" i="16"/>
  <c r="BN10" i="16"/>
  <c r="BM10" i="16"/>
  <c r="BL10" i="16"/>
  <c r="BJ10" i="16"/>
  <c r="BI10" i="16"/>
  <c r="BH10" i="16"/>
  <c r="AF6" i="16"/>
  <c r="AE6" i="16"/>
  <c r="AF5" i="16"/>
  <c r="AE5" i="16"/>
  <c r="AF4" i="16"/>
  <c r="AE4" i="16"/>
  <c r="P4" i="16"/>
  <c r="AJ3" i="16"/>
  <c r="AF3" i="16"/>
  <c r="AE3" i="16"/>
  <c r="N3" i="16"/>
  <c r="X2" i="16"/>
  <c r="W2" i="16"/>
  <c r="X4" i="16" s="1"/>
  <c r="V2" i="16"/>
  <c r="W3" i="16" s="1"/>
  <c r="T2" i="16"/>
  <c r="S2" i="16"/>
  <c r="T5" i="16" s="1"/>
  <c r="R2" i="16"/>
  <c r="R3" i="16" s="1"/>
  <c r="P2" i="16"/>
  <c r="O2" i="16"/>
  <c r="P5" i="16" s="1"/>
  <c r="N2" i="16"/>
  <c r="K51" i="15"/>
  <c r="I51" i="15"/>
  <c r="K49" i="15"/>
  <c r="I49" i="15"/>
  <c r="H51" i="15"/>
  <c r="Q61" i="15"/>
  <c r="L41" i="14"/>
  <c r="K41" i="14"/>
  <c r="J41" i="14"/>
  <c r="J41" i="14" a="1"/>
  <c r="J40" i="14" a="1"/>
  <c r="L40" i="14" s="1"/>
  <c r="J39" i="14" a="1"/>
  <c r="L39" i="14" s="1"/>
  <c r="J38" i="14" a="1"/>
  <c r="J38" i="14" s="1"/>
  <c r="F44" i="14"/>
  <c r="H30" i="14"/>
  <c r="G30" i="14"/>
  <c r="F30" i="14"/>
  <c r="R42" i="7" a="1"/>
  <c r="T42" i="7" s="1"/>
  <c r="R41" i="7" a="1"/>
  <c r="T41" i="7" s="1"/>
  <c r="R40" i="7" a="1"/>
  <c r="T40" i="7" s="1"/>
  <c r="R37" i="7" a="1"/>
  <c r="R37" i="7" s="1"/>
  <c r="K71" i="15"/>
  <c r="I71" i="15"/>
  <c r="C71" i="15"/>
  <c r="A71" i="15"/>
  <c r="K69" i="15"/>
  <c r="I69" i="15"/>
  <c r="C69" i="15"/>
  <c r="A69" i="15"/>
  <c r="K65" i="15"/>
  <c r="I65" i="15"/>
  <c r="C65" i="15"/>
  <c r="A65" i="15"/>
  <c r="K63" i="15"/>
  <c r="I63" i="15"/>
  <c r="C63" i="15"/>
  <c r="A63" i="15"/>
  <c r="K61" i="15"/>
  <c r="I61" i="15"/>
  <c r="C61" i="15"/>
  <c r="A61" i="15"/>
  <c r="K57" i="15"/>
  <c r="I57" i="15"/>
  <c r="C57" i="15"/>
  <c r="A57" i="15"/>
  <c r="K55" i="15"/>
  <c r="I55" i="15"/>
  <c r="C55" i="15"/>
  <c r="A55" i="15"/>
  <c r="C51" i="15"/>
  <c r="A51" i="15"/>
  <c r="C49" i="15"/>
  <c r="A49" i="15"/>
  <c r="V38" i="15"/>
  <c r="U38" i="15"/>
  <c r="P38" i="15"/>
  <c r="O38" i="15"/>
  <c r="N38" i="15"/>
  <c r="V36" i="15"/>
  <c r="U36" i="15"/>
  <c r="P36" i="15"/>
  <c r="O36" i="15"/>
  <c r="N36" i="15"/>
  <c r="V34" i="15"/>
  <c r="U34" i="15"/>
  <c r="P34" i="15"/>
  <c r="O34" i="15"/>
  <c r="N34" i="15"/>
  <c r="V30" i="15"/>
  <c r="U30" i="15"/>
  <c r="P30" i="15"/>
  <c r="O30" i="15"/>
  <c r="N30" i="15"/>
  <c r="V28" i="15"/>
  <c r="U28" i="15"/>
  <c r="P28" i="15"/>
  <c r="O28" i="15"/>
  <c r="N28" i="15"/>
  <c r="V26" i="15"/>
  <c r="U26" i="15"/>
  <c r="P26" i="15"/>
  <c r="O26" i="15"/>
  <c r="N26" i="15"/>
  <c r="V24" i="15"/>
  <c r="U24" i="15"/>
  <c r="P24" i="15"/>
  <c r="O24" i="15"/>
  <c r="V20" i="15"/>
  <c r="U20" i="15"/>
  <c r="P20" i="15"/>
  <c r="O20" i="15"/>
  <c r="N20" i="15"/>
  <c r="V18" i="15"/>
  <c r="U18" i="15"/>
  <c r="P18" i="15"/>
  <c r="O18" i="15"/>
  <c r="N18" i="15"/>
  <c r="V16" i="15"/>
  <c r="U16" i="15"/>
  <c r="P16" i="15"/>
  <c r="O16" i="15"/>
  <c r="N16" i="15"/>
  <c r="V12" i="15"/>
  <c r="U12" i="15"/>
  <c r="P12" i="15"/>
  <c r="O12" i="15"/>
  <c r="N12" i="15"/>
  <c r="V10" i="15"/>
  <c r="U10" i="15"/>
  <c r="P10" i="15"/>
  <c r="O10" i="15"/>
  <c r="N10" i="15"/>
  <c r="V8" i="15"/>
  <c r="U8" i="15"/>
  <c r="P8" i="15"/>
  <c r="O8" i="15"/>
  <c r="N8" i="15"/>
  <c r="AC5" i="15"/>
  <c r="AB5" i="15"/>
  <c r="AG4" i="15"/>
  <c r="AH3" i="15" s="1"/>
  <c r="AF4" i="15"/>
  <c r="AH2" i="15" s="1"/>
  <c r="AC4" i="15"/>
  <c r="AB4" i="15"/>
  <c r="AC3" i="15"/>
  <c r="AB3" i="15"/>
  <c r="AC2" i="15"/>
  <c r="AB2" i="15"/>
  <c r="E98" i="13"/>
  <c r="F31" i="14"/>
  <c r="X2" i="14"/>
  <c r="W2" i="14"/>
  <c r="X5" i="14" s="1"/>
  <c r="V2" i="14"/>
  <c r="Q71" i="14"/>
  <c r="L69" i="14"/>
  <c r="K69" i="14"/>
  <c r="J69" i="14"/>
  <c r="H69" i="14"/>
  <c r="G69" i="14"/>
  <c r="F69" i="14"/>
  <c r="L68" i="14"/>
  <c r="K68" i="14"/>
  <c r="J68" i="14"/>
  <c r="H68" i="14"/>
  <c r="G68" i="14"/>
  <c r="F68" i="14"/>
  <c r="L67" i="14"/>
  <c r="K67" i="14"/>
  <c r="J67" i="14"/>
  <c r="H67" i="14"/>
  <c r="G67" i="14"/>
  <c r="F67" i="14"/>
  <c r="T66" i="14"/>
  <c r="S66" i="14"/>
  <c r="R66" i="14"/>
  <c r="P66" i="14"/>
  <c r="O66" i="14"/>
  <c r="N66" i="14"/>
  <c r="L66" i="14"/>
  <c r="K66" i="14"/>
  <c r="J66" i="14"/>
  <c r="H66" i="14"/>
  <c r="G66" i="14"/>
  <c r="F66" i="14"/>
  <c r="T47" i="14"/>
  <c r="S47" i="14"/>
  <c r="R47" i="14"/>
  <c r="P47" i="14"/>
  <c r="O47" i="14"/>
  <c r="N47" i="14"/>
  <c r="L47" i="14"/>
  <c r="K47" i="14"/>
  <c r="J47" i="14"/>
  <c r="H47" i="14"/>
  <c r="G47" i="14"/>
  <c r="F47" i="14"/>
  <c r="L46" i="14"/>
  <c r="K46" i="14"/>
  <c r="J46" i="14"/>
  <c r="H46" i="14"/>
  <c r="G46" i="14"/>
  <c r="F46" i="14"/>
  <c r="AR45" i="14"/>
  <c r="AQ45" i="14"/>
  <c r="AP45" i="14"/>
  <c r="AO45" i="14"/>
  <c r="AN45" i="14"/>
  <c r="AM45" i="14"/>
  <c r="L45" i="14"/>
  <c r="K45" i="14"/>
  <c r="J45" i="14"/>
  <c r="T44" i="14"/>
  <c r="S44" i="14"/>
  <c r="R44" i="14"/>
  <c r="P44" i="14"/>
  <c r="O44" i="14"/>
  <c r="N44" i="14"/>
  <c r="L44" i="14"/>
  <c r="K44" i="14"/>
  <c r="J44" i="14"/>
  <c r="H44" i="14"/>
  <c r="G44" i="14"/>
  <c r="BR16" i="14"/>
  <c r="AJ16" i="14" s="1"/>
  <c r="BQ16" i="14"/>
  <c r="AI16" i="14" s="1"/>
  <c r="BP16" i="14"/>
  <c r="AH16" i="14" s="1"/>
  <c r="BN16" i="14"/>
  <c r="AF16" i="14" s="1"/>
  <c r="BM16" i="14"/>
  <c r="AE16" i="14" s="1"/>
  <c r="BL16" i="14"/>
  <c r="AD16" i="14" s="1"/>
  <c r="BJ16" i="14"/>
  <c r="BI16" i="14"/>
  <c r="BH16" i="14"/>
  <c r="BF16" i="14"/>
  <c r="BE16" i="14"/>
  <c r="BD16" i="14"/>
  <c r="BR15" i="14"/>
  <c r="AJ15" i="14" s="1"/>
  <c r="BQ15" i="14"/>
  <c r="AI15" i="14" s="1"/>
  <c r="BP15" i="14"/>
  <c r="BN15" i="14"/>
  <c r="AF15" i="14" s="1"/>
  <c r="BM15" i="14"/>
  <c r="AE15" i="14" s="1"/>
  <c r="BL15" i="14"/>
  <c r="AD15" i="14" s="1"/>
  <c r="BJ15" i="14"/>
  <c r="BI15" i="14"/>
  <c r="BH15" i="14"/>
  <c r="BF15" i="14"/>
  <c r="BE15" i="14"/>
  <c r="BD15" i="14"/>
  <c r="AH15" i="14"/>
  <c r="BR13" i="14"/>
  <c r="BQ13" i="14"/>
  <c r="BP13" i="14"/>
  <c r="BN13" i="14"/>
  <c r="BM13" i="14"/>
  <c r="BL13" i="14"/>
  <c r="BJ13" i="14"/>
  <c r="BI13" i="14"/>
  <c r="BH13" i="14"/>
  <c r="BF13" i="14"/>
  <c r="BE13" i="14"/>
  <c r="BD13" i="14"/>
  <c r="BR12" i="14"/>
  <c r="BQ12" i="14"/>
  <c r="BP12" i="14"/>
  <c r="BN12" i="14"/>
  <c r="BM12" i="14"/>
  <c r="BL12" i="14"/>
  <c r="BJ12" i="14"/>
  <c r="BI12" i="14"/>
  <c r="BH12" i="14"/>
  <c r="BF12" i="14"/>
  <c r="BE12" i="14"/>
  <c r="BD12" i="14"/>
  <c r="BR10" i="14"/>
  <c r="BQ10" i="14"/>
  <c r="BP10" i="14"/>
  <c r="BN10" i="14"/>
  <c r="BM10" i="14"/>
  <c r="BL10" i="14"/>
  <c r="BJ10" i="14"/>
  <c r="BI10" i="14"/>
  <c r="BH10" i="14"/>
  <c r="BF10" i="14"/>
  <c r="BE10" i="14"/>
  <c r="BD10" i="14"/>
  <c r="AF6" i="14"/>
  <c r="AE6" i="14"/>
  <c r="AF5" i="14"/>
  <c r="AH5" i="14" s="1"/>
  <c r="AJ3" i="14" s="1"/>
  <c r="AE5" i="14"/>
  <c r="AI5" i="14" s="1"/>
  <c r="AJ4" i="14" s="1"/>
  <c r="AF4" i="14"/>
  <c r="AE4" i="14"/>
  <c r="AF3" i="14"/>
  <c r="AE3" i="14"/>
  <c r="X4" i="14"/>
  <c r="T2" i="14"/>
  <c r="S2" i="14"/>
  <c r="T4" i="14" s="1"/>
  <c r="R2" i="14"/>
  <c r="P2" i="14"/>
  <c r="O2" i="14"/>
  <c r="N2" i="14"/>
  <c r="O5" i="14" s="1"/>
  <c r="G101" i="13"/>
  <c r="F101" i="13"/>
  <c r="R101" i="13" s="1"/>
  <c r="E101" i="13"/>
  <c r="G99" i="13"/>
  <c r="S99" i="13" s="1"/>
  <c r="F99" i="13"/>
  <c r="R99" i="13" s="1"/>
  <c r="E99" i="13"/>
  <c r="Q99" i="13" s="1"/>
  <c r="G97" i="13"/>
  <c r="S97" i="13" s="1"/>
  <c r="F97" i="13"/>
  <c r="R97" i="13" s="1"/>
  <c r="E97" i="13"/>
  <c r="Q97" i="13" s="1"/>
  <c r="G95" i="13"/>
  <c r="S95" i="13" s="1"/>
  <c r="F95" i="13"/>
  <c r="E95" i="13"/>
  <c r="H93" i="13"/>
  <c r="G93" i="13"/>
  <c r="F93" i="13"/>
  <c r="G91" i="13"/>
  <c r="F91" i="13"/>
  <c r="R91" i="13" s="1"/>
  <c r="E91" i="13"/>
  <c r="Q91" i="13" s="1"/>
  <c r="G89" i="13"/>
  <c r="F89" i="13"/>
  <c r="R89" i="13" s="1"/>
  <c r="E89" i="13"/>
  <c r="G87" i="13"/>
  <c r="F87" i="13"/>
  <c r="E87" i="13"/>
  <c r="F85" i="13"/>
  <c r="G83" i="13"/>
  <c r="S83" i="13" s="1"/>
  <c r="F83" i="13"/>
  <c r="R83" i="13" s="1"/>
  <c r="E83" i="13"/>
  <c r="Q83" i="13" s="1"/>
  <c r="G81" i="13"/>
  <c r="F81" i="13"/>
  <c r="R81" i="13" s="1"/>
  <c r="E81" i="13"/>
  <c r="F77" i="13"/>
  <c r="G75" i="13"/>
  <c r="S75" i="13" s="1"/>
  <c r="F75" i="13"/>
  <c r="R75" i="13" s="1"/>
  <c r="E75" i="13"/>
  <c r="Q75" i="13" s="1"/>
  <c r="G73" i="13"/>
  <c r="S73" i="13" s="1"/>
  <c r="F73" i="13"/>
  <c r="E73" i="13"/>
  <c r="G71" i="13"/>
  <c r="F71" i="13"/>
  <c r="R71" i="13" s="1"/>
  <c r="E71" i="13"/>
  <c r="Q71" i="13" s="1"/>
  <c r="F69" i="13"/>
  <c r="F62" i="13"/>
  <c r="AE86" i="13"/>
  <c r="AD86" i="13"/>
  <c r="AC86" i="13"/>
  <c r="AE78" i="13"/>
  <c r="AD78" i="13"/>
  <c r="AC78" i="13"/>
  <c r="AE70" i="13"/>
  <c r="AD70" i="13"/>
  <c r="AC70" i="13"/>
  <c r="AA90" i="13"/>
  <c r="Z90" i="13"/>
  <c r="Y90" i="13"/>
  <c r="AA88" i="13"/>
  <c r="Z88" i="13"/>
  <c r="Y88" i="13"/>
  <c r="AA86" i="13"/>
  <c r="Z86" i="13"/>
  <c r="Y86" i="13"/>
  <c r="AA82" i="13"/>
  <c r="Z82" i="13"/>
  <c r="Y82" i="13"/>
  <c r="AA80" i="13"/>
  <c r="Z80" i="13"/>
  <c r="Y80" i="13"/>
  <c r="AA78" i="13"/>
  <c r="Z78" i="13"/>
  <c r="Y78" i="13"/>
  <c r="AA74" i="13"/>
  <c r="Z74" i="13"/>
  <c r="Y74" i="13"/>
  <c r="Z72" i="13"/>
  <c r="AA70" i="13"/>
  <c r="Z70" i="13"/>
  <c r="Y70" i="13"/>
  <c r="AA66" i="13"/>
  <c r="Z66" i="13"/>
  <c r="Y66" i="13"/>
  <c r="AA64" i="13"/>
  <c r="Z64" i="13"/>
  <c r="Y64" i="13"/>
  <c r="V54" i="13"/>
  <c r="U54" i="13"/>
  <c r="P54" i="13"/>
  <c r="O54" i="13"/>
  <c r="N54" i="13"/>
  <c r="V52" i="13"/>
  <c r="U52" i="13"/>
  <c r="P52" i="13"/>
  <c r="O52" i="13"/>
  <c r="N52" i="13"/>
  <c r="V50" i="13"/>
  <c r="U50" i="13"/>
  <c r="P50" i="13"/>
  <c r="O50" i="13"/>
  <c r="N50" i="13"/>
  <c r="V48" i="13"/>
  <c r="U48" i="13"/>
  <c r="P48" i="13"/>
  <c r="O48" i="13"/>
  <c r="N48" i="13"/>
  <c r="V46" i="13"/>
  <c r="U46" i="13"/>
  <c r="P46" i="13"/>
  <c r="O46" i="13"/>
  <c r="N46" i="13"/>
  <c r="V42" i="13"/>
  <c r="U42" i="13"/>
  <c r="P42" i="13"/>
  <c r="O42" i="13"/>
  <c r="N42" i="13"/>
  <c r="V40" i="13"/>
  <c r="U40" i="13"/>
  <c r="P40" i="13"/>
  <c r="O40" i="13"/>
  <c r="N40" i="13"/>
  <c r="V38" i="13"/>
  <c r="U38" i="13"/>
  <c r="P38" i="13"/>
  <c r="O38" i="13"/>
  <c r="N38" i="13"/>
  <c r="V36" i="13"/>
  <c r="U36" i="13"/>
  <c r="P36" i="13"/>
  <c r="O36" i="13"/>
  <c r="N36" i="13"/>
  <c r="V32" i="13"/>
  <c r="U32" i="13"/>
  <c r="P32" i="13"/>
  <c r="O32" i="13"/>
  <c r="N32" i="13"/>
  <c r="V30" i="13"/>
  <c r="U30" i="13"/>
  <c r="P30" i="13"/>
  <c r="O30" i="13"/>
  <c r="N30" i="13"/>
  <c r="V28" i="13"/>
  <c r="U28" i="13"/>
  <c r="P28" i="13"/>
  <c r="O28" i="13"/>
  <c r="N28" i="13"/>
  <c r="V26" i="13"/>
  <c r="U26" i="13"/>
  <c r="P26" i="13"/>
  <c r="O26" i="13"/>
  <c r="N26" i="13"/>
  <c r="V22" i="13"/>
  <c r="U22" i="13"/>
  <c r="P22" i="13"/>
  <c r="O22" i="13"/>
  <c r="N22" i="13"/>
  <c r="V20" i="13"/>
  <c r="U20" i="13"/>
  <c r="P20" i="13"/>
  <c r="O20" i="13"/>
  <c r="N20" i="13"/>
  <c r="V18" i="13"/>
  <c r="U18" i="13"/>
  <c r="P18" i="13"/>
  <c r="O18" i="13"/>
  <c r="N18" i="13"/>
  <c r="V16" i="13"/>
  <c r="U16" i="13"/>
  <c r="P16" i="13"/>
  <c r="O16" i="13"/>
  <c r="N16" i="13"/>
  <c r="V12" i="13"/>
  <c r="U12" i="13"/>
  <c r="P12" i="13"/>
  <c r="O12" i="13"/>
  <c r="N12" i="13"/>
  <c r="V10" i="13"/>
  <c r="U10" i="13"/>
  <c r="P10" i="13"/>
  <c r="O10" i="13"/>
  <c r="N10" i="13"/>
  <c r="V8" i="13"/>
  <c r="U8" i="13"/>
  <c r="P8" i="13"/>
  <c r="O8" i="13"/>
  <c r="N8" i="13"/>
  <c r="I100" i="13"/>
  <c r="S101" i="13"/>
  <c r="G100" i="13"/>
  <c r="F100" i="13"/>
  <c r="E100" i="13"/>
  <c r="C100" i="13"/>
  <c r="A100" i="13"/>
  <c r="K100" i="13"/>
  <c r="I96" i="13"/>
  <c r="K96" i="13"/>
  <c r="K98" i="13"/>
  <c r="I98" i="13"/>
  <c r="G98" i="13"/>
  <c r="F98" i="13"/>
  <c r="C98" i="13"/>
  <c r="A98" i="13"/>
  <c r="G96" i="13"/>
  <c r="F96" i="13"/>
  <c r="E96" i="13"/>
  <c r="C96" i="13"/>
  <c r="A96" i="13"/>
  <c r="K94" i="13"/>
  <c r="I94" i="13"/>
  <c r="G94" i="13"/>
  <c r="F94" i="13"/>
  <c r="E94" i="13"/>
  <c r="C94" i="13"/>
  <c r="A94" i="13"/>
  <c r="K90" i="13"/>
  <c r="I90" i="13"/>
  <c r="G90" i="13"/>
  <c r="F90" i="13"/>
  <c r="E90" i="13"/>
  <c r="C90" i="13"/>
  <c r="A90" i="13"/>
  <c r="K88" i="13"/>
  <c r="I88" i="13"/>
  <c r="S89" i="13"/>
  <c r="G88" i="13"/>
  <c r="F88" i="13"/>
  <c r="E88" i="13"/>
  <c r="C88" i="13"/>
  <c r="A88" i="13"/>
  <c r="K86" i="13"/>
  <c r="I86" i="13"/>
  <c r="R87" i="13"/>
  <c r="G86" i="13"/>
  <c r="F86" i="13"/>
  <c r="E86" i="13"/>
  <c r="C86" i="13"/>
  <c r="A86" i="13"/>
  <c r="K82" i="13"/>
  <c r="I82" i="13"/>
  <c r="G82" i="13"/>
  <c r="F82" i="13"/>
  <c r="E82" i="13"/>
  <c r="C82" i="13"/>
  <c r="A82" i="13"/>
  <c r="K80" i="13"/>
  <c r="I80" i="13"/>
  <c r="G80" i="13"/>
  <c r="F80" i="13"/>
  <c r="E80" i="13"/>
  <c r="C80" i="13"/>
  <c r="A80" i="13"/>
  <c r="K78" i="13"/>
  <c r="I78" i="13"/>
  <c r="G79" i="13"/>
  <c r="S79" i="13" s="1"/>
  <c r="G78" i="13"/>
  <c r="F78" i="13"/>
  <c r="E78" i="13"/>
  <c r="C78" i="13"/>
  <c r="A78" i="13"/>
  <c r="K74" i="13"/>
  <c r="I74" i="13"/>
  <c r="G74" i="13"/>
  <c r="F74" i="13"/>
  <c r="E74" i="13"/>
  <c r="C74" i="13"/>
  <c r="A74" i="13"/>
  <c r="K72" i="13"/>
  <c r="I72" i="13"/>
  <c r="G72" i="13"/>
  <c r="AA72" i="13" s="1"/>
  <c r="F72" i="13"/>
  <c r="E72" i="13"/>
  <c r="Y72" i="13" s="1"/>
  <c r="C72" i="13"/>
  <c r="A72" i="13"/>
  <c r="K70" i="13"/>
  <c r="I70" i="13"/>
  <c r="S71" i="13"/>
  <c r="G70" i="13"/>
  <c r="F70" i="13"/>
  <c r="E70" i="13"/>
  <c r="C70" i="13"/>
  <c r="A70" i="13"/>
  <c r="K66" i="13"/>
  <c r="I66" i="13"/>
  <c r="G67" i="13"/>
  <c r="S67" i="13" s="1"/>
  <c r="F67" i="13"/>
  <c r="R67" i="13" s="1"/>
  <c r="G66" i="13"/>
  <c r="F66" i="13"/>
  <c r="E66" i="13"/>
  <c r="C66" i="13"/>
  <c r="A66" i="13"/>
  <c r="K64" i="13"/>
  <c r="I64" i="13"/>
  <c r="F65" i="13"/>
  <c r="R65" i="13" s="1"/>
  <c r="G64" i="13"/>
  <c r="F64" i="13"/>
  <c r="E64" i="13"/>
  <c r="C64" i="13"/>
  <c r="A64" i="13"/>
  <c r="AF3" i="3"/>
  <c r="AH5" i="3" s="1"/>
  <c r="AJ3" i="3" s="1"/>
  <c r="AE3" i="3"/>
  <c r="AI5" i="3" s="1"/>
  <c r="AJ4" i="3" s="1"/>
  <c r="BQ18" i="7"/>
  <c r="BP18" i="7"/>
  <c r="BO18" i="7"/>
  <c r="BQ16" i="7"/>
  <c r="BP16" i="7"/>
  <c r="BO16" i="7"/>
  <c r="BQ14" i="7"/>
  <c r="BP14" i="7"/>
  <c r="BO14" i="7"/>
  <c r="BQ13" i="7"/>
  <c r="BP13" i="7"/>
  <c r="BO13" i="7"/>
  <c r="BQ11" i="7"/>
  <c r="BP11" i="7"/>
  <c r="BO11" i="7"/>
  <c r="AF6" i="7"/>
  <c r="AE6" i="7"/>
  <c r="AF5" i="7"/>
  <c r="AE5" i="7"/>
  <c r="AF4" i="7"/>
  <c r="AH5" i="7" s="1"/>
  <c r="AE4" i="7"/>
  <c r="AI5" i="7" s="1"/>
  <c r="AF3" i="7"/>
  <c r="AE3" i="7"/>
  <c r="Q57" i="12"/>
  <c r="Q59" i="12"/>
  <c r="S63" i="12"/>
  <c r="Q63" i="12"/>
  <c r="S65" i="12"/>
  <c r="Q65" i="12"/>
  <c r="S69" i="12"/>
  <c r="R69" i="12"/>
  <c r="Q69" i="12"/>
  <c r="S71" i="12"/>
  <c r="R71" i="12"/>
  <c r="Q71" i="12"/>
  <c r="S73" i="12"/>
  <c r="R73" i="12"/>
  <c r="Q73" i="12"/>
  <c r="S75" i="12"/>
  <c r="R75" i="12"/>
  <c r="Q75" i="12"/>
  <c r="S79" i="12"/>
  <c r="R79" i="12"/>
  <c r="Q79" i="12"/>
  <c r="S81" i="12"/>
  <c r="R81" i="12"/>
  <c r="Q81" i="12"/>
  <c r="S87" i="12"/>
  <c r="R87" i="12"/>
  <c r="Q87" i="12"/>
  <c r="S85" i="12"/>
  <c r="R85" i="12"/>
  <c r="Q85" i="12"/>
  <c r="S83" i="12"/>
  <c r="R83" i="12"/>
  <c r="Q83" i="12"/>
  <c r="AF6" i="3"/>
  <c r="AE6" i="3"/>
  <c r="AF5" i="3"/>
  <c r="AE5" i="3"/>
  <c r="AF4" i="3"/>
  <c r="AE4" i="3"/>
  <c r="CG18" i="7"/>
  <c r="AR18" i="7" s="1"/>
  <c r="CF18" i="7"/>
  <c r="AQ18" i="7" s="1"/>
  <c r="CE18" i="7"/>
  <c r="AP18" i="7" s="1"/>
  <c r="CC18" i="7"/>
  <c r="AN18" i="7" s="1"/>
  <c r="CB18" i="7"/>
  <c r="AM18" i="7" s="1"/>
  <c r="CA18" i="7"/>
  <c r="AL18" i="7" s="1"/>
  <c r="BY18" i="7"/>
  <c r="BX18" i="7"/>
  <c r="BW18" i="7"/>
  <c r="BU18" i="7"/>
  <c r="BT18" i="7"/>
  <c r="BS18" i="7"/>
  <c r="CG16" i="7"/>
  <c r="AR16" i="7" s="1"/>
  <c r="CF16" i="7"/>
  <c r="AQ16" i="7" s="1"/>
  <c r="CE16" i="7"/>
  <c r="AP16" i="7" s="1"/>
  <c r="CC16" i="7"/>
  <c r="AN16" i="7" s="1"/>
  <c r="CB16" i="7"/>
  <c r="AM16" i="7" s="1"/>
  <c r="CA16" i="7"/>
  <c r="AL16" i="7" s="1"/>
  <c r="BY16" i="7"/>
  <c r="BX16" i="7"/>
  <c r="BW16" i="7"/>
  <c r="BU16" i="7"/>
  <c r="BT16" i="7"/>
  <c r="BS16" i="7"/>
  <c r="CG14" i="7"/>
  <c r="CF14" i="7"/>
  <c r="CE14" i="7"/>
  <c r="CC14" i="7"/>
  <c r="CB14" i="7"/>
  <c r="CA14" i="7"/>
  <c r="BY14" i="7"/>
  <c r="BX14" i="7"/>
  <c r="BW14" i="7"/>
  <c r="BU14" i="7"/>
  <c r="BT14" i="7"/>
  <c r="BS14" i="7"/>
  <c r="CG13" i="7"/>
  <c r="CF13" i="7"/>
  <c r="CE13" i="7"/>
  <c r="CC13" i="7"/>
  <c r="CB13" i="7"/>
  <c r="CA13" i="7"/>
  <c r="BY13" i="7"/>
  <c r="BX13" i="7"/>
  <c r="BW13" i="7"/>
  <c r="BU13" i="7"/>
  <c r="BT13" i="7"/>
  <c r="BS13" i="7"/>
  <c r="CG11" i="7"/>
  <c r="CF11" i="7"/>
  <c r="CE11" i="7"/>
  <c r="CC11" i="7"/>
  <c r="CB11" i="7"/>
  <c r="CA11" i="7"/>
  <c r="BY11" i="7"/>
  <c r="BX11" i="7"/>
  <c r="BW11" i="7"/>
  <c r="BU11" i="7"/>
  <c r="BT11" i="7"/>
  <c r="BS11" i="7"/>
  <c r="P2" i="7"/>
  <c r="O2" i="7"/>
  <c r="P4" i="7" s="1"/>
  <c r="N2" i="7"/>
  <c r="X2" i="7"/>
  <c r="W2" i="7"/>
  <c r="X4" i="7" s="1"/>
  <c r="V2" i="7"/>
  <c r="V3" i="7" s="1"/>
  <c r="T4" i="7"/>
  <c r="S4" i="7"/>
  <c r="R4" i="7"/>
  <c r="S3" i="7"/>
  <c r="T5" i="7"/>
  <c r="R3" i="7"/>
  <c r="AC5" i="13"/>
  <c r="AB5" i="13"/>
  <c r="AG4" i="13"/>
  <c r="AH3" i="13" s="1"/>
  <c r="AF4" i="13"/>
  <c r="AH2" i="13" s="1"/>
  <c r="AC4" i="13"/>
  <c r="AB4" i="13"/>
  <c r="AC3" i="13"/>
  <c r="AB3" i="13"/>
  <c r="AC2" i="13"/>
  <c r="AB2" i="13"/>
  <c r="G87" i="12"/>
  <c r="F87" i="12"/>
  <c r="E87" i="12"/>
  <c r="G83" i="12"/>
  <c r="F83" i="12"/>
  <c r="E83" i="12"/>
  <c r="G81" i="12"/>
  <c r="F81" i="12"/>
  <c r="E81" i="12"/>
  <c r="G79" i="12"/>
  <c r="F79" i="12"/>
  <c r="E79" i="12"/>
  <c r="H77" i="12"/>
  <c r="G77" i="12"/>
  <c r="F77" i="12"/>
  <c r="G75" i="12"/>
  <c r="F75" i="12"/>
  <c r="E75" i="12"/>
  <c r="G73" i="12"/>
  <c r="F73" i="12"/>
  <c r="E73" i="12"/>
  <c r="G71" i="12"/>
  <c r="F71" i="12"/>
  <c r="E71" i="12"/>
  <c r="G69" i="12"/>
  <c r="F69" i="12"/>
  <c r="E69" i="12"/>
  <c r="H67" i="12"/>
  <c r="G67" i="12"/>
  <c r="F67" i="12"/>
  <c r="G65" i="12"/>
  <c r="F65" i="12"/>
  <c r="R65" i="12" s="1"/>
  <c r="E65" i="12"/>
  <c r="G59" i="12"/>
  <c r="S59" i="12" s="1"/>
  <c r="F59" i="12"/>
  <c r="R59" i="12" s="1"/>
  <c r="E59" i="12"/>
  <c r="G63" i="12"/>
  <c r="F63" i="12"/>
  <c r="R63" i="12" s="1"/>
  <c r="E63" i="12"/>
  <c r="F61" i="12"/>
  <c r="G57" i="12"/>
  <c r="S57" i="12" s="1"/>
  <c r="F57" i="12"/>
  <c r="R57" i="12" s="1"/>
  <c r="E57" i="12"/>
  <c r="F54" i="12"/>
  <c r="AE68" i="12"/>
  <c r="AD68" i="12"/>
  <c r="AC68" i="12"/>
  <c r="AE62" i="12"/>
  <c r="AD62" i="12"/>
  <c r="AC62" i="12"/>
  <c r="AE56" i="12"/>
  <c r="AD56" i="12"/>
  <c r="AC56" i="12"/>
  <c r="AA74" i="12"/>
  <c r="Z74" i="12"/>
  <c r="Y74" i="12"/>
  <c r="AA72" i="12"/>
  <c r="Z72" i="12"/>
  <c r="Y72" i="12"/>
  <c r="AA70" i="12"/>
  <c r="Z70" i="12"/>
  <c r="Y70" i="12"/>
  <c r="AA68" i="12"/>
  <c r="Z68" i="12"/>
  <c r="Y68" i="12"/>
  <c r="AA64" i="12"/>
  <c r="Z64" i="12"/>
  <c r="Y64" i="12"/>
  <c r="AA62" i="12"/>
  <c r="Z62" i="12"/>
  <c r="Y62" i="12"/>
  <c r="AA58" i="12"/>
  <c r="Z58" i="12"/>
  <c r="Y58" i="12"/>
  <c r="AA56" i="12"/>
  <c r="Z56" i="12"/>
  <c r="Y56" i="12"/>
  <c r="X2" i="3"/>
  <c r="W2" i="3"/>
  <c r="V2" i="3"/>
  <c r="K82" i="12"/>
  <c r="I82" i="12"/>
  <c r="G82" i="12"/>
  <c r="F82" i="12"/>
  <c r="E82" i="12"/>
  <c r="C82" i="12"/>
  <c r="A82" i="12"/>
  <c r="V42" i="12"/>
  <c r="U42" i="12"/>
  <c r="P42" i="12"/>
  <c r="O42" i="12"/>
  <c r="V46" i="12"/>
  <c r="U46" i="12"/>
  <c r="V44" i="12"/>
  <c r="U44" i="12"/>
  <c r="V40" i="12"/>
  <c r="U40" i="12"/>
  <c r="V38" i="12"/>
  <c r="U38" i="12"/>
  <c r="V36" i="12"/>
  <c r="U36" i="12"/>
  <c r="P46" i="12"/>
  <c r="O46" i="12"/>
  <c r="N46" i="12"/>
  <c r="P44" i="12"/>
  <c r="O44" i="12"/>
  <c r="N44" i="12"/>
  <c r="P40" i="12"/>
  <c r="O40" i="12"/>
  <c r="N40" i="12"/>
  <c r="P36" i="12"/>
  <c r="O36" i="12"/>
  <c r="N36" i="12"/>
  <c r="P38" i="12"/>
  <c r="O38" i="12"/>
  <c r="N38" i="12"/>
  <c r="T2" i="3"/>
  <c r="S2" i="3"/>
  <c r="T5" i="3" s="1"/>
  <c r="R2" i="3"/>
  <c r="R4" i="3" s="1"/>
  <c r="P2" i="3"/>
  <c r="O2" i="3"/>
  <c r="P5" i="3" s="1"/>
  <c r="N2" i="3"/>
  <c r="AG4" i="12"/>
  <c r="AH3" i="12" s="1"/>
  <c r="AF4" i="12"/>
  <c r="AH2" i="12" s="1"/>
  <c r="AC5" i="12"/>
  <c r="AB5" i="12"/>
  <c r="AC4" i="12"/>
  <c r="AB4" i="12"/>
  <c r="AC3" i="12"/>
  <c r="AB3" i="12"/>
  <c r="AC2" i="12"/>
  <c r="AB2" i="12"/>
  <c r="V69" i="21" l="1"/>
  <c r="V49" i="21"/>
  <c r="U49" i="21"/>
  <c r="V71" i="20"/>
  <c r="V63" i="20"/>
  <c r="AE64" i="19"/>
  <c r="Z62" i="18"/>
  <c r="Y56" i="18"/>
  <c r="U63" i="21"/>
  <c r="W49" i="21"/>
  <c r="U55" i="21"/>
  <c r="Q64" i="21"/>
  <c r="Q66" i="21"/>
  <c r="V55" i="21"/>
  <c r="R64" i="21"/>
  <c r="R66" i="21"/>
  <c r="V63" i="21"/>
  <c r="AE49" i="21"/>
  <c r="S64" i="21"/>
  <c r="S66" i="21"/>
  <c r="AD49" i="21"/>
  <c r="V61" i="21"/>
  <c r="U65" i="21"/>
  <c r="U71" i="21"/>
  <c r="Y49" i="21"/>
  <c r="AC49" i="21" s="1"/>
  <c r="U51" i="21"/>
  <c r="AA51" i="21"/>
  <c r="W61" i="21"/>
  <c r="V65" i="21"/>
  <c r="V51" i="21"/>
  <c r="W65" i="21"/>
  <c r="W71" i="21"/>
  <c r="Q52" i="20"/>
  <c r="Q50" i="20"/>
  <c r="Q62" i="20"/>
  <c r="U57" i="20"/>
  <c r="V57" i="20"/>
  <c r="Q64" i="20"/>
  <c r="Q66" i="20"/>
  <c r="U63" i="20"/>
  <c r="W69" i="20"/>
  <c r="AC55" i="20"/>
  <c r="AA55" i="20"/>
  <c r="AE55" i="20" s="1"/>
  <c r="R64" i="20"/>
  <c r="R66" i="20"/>
  <c r="U49" i="20"/>
  <c r="AD55" i="20"/>
  <c r="W49" i="20"/>
  <c r="U61" i="20"/>
  <c r="AA61" i="20"/>
  <c r="AE61" i="20" s="1"/>
  <c r="Z51" i="20"/>
  <c r="AD49" i="20" s="1"/>
  <c r="W55" i="20"/>
  <c r="V61" i="20"/>
  <c r="AA51" i="20"/>
  <c r="AE49" i="20" s="1"/>
  <c r="AA65" i="20"/>
  <c r="V49" i="20"/>
  <c r="U71" i="20"/>
  <c r="W63" i="20"/>
  <c r="U78" i="19"/>
  <c r="U90" i="19"/>
  <c r="W66" i="19"/>
  <c r="AD78" i="19"/>
  <c r="U86" i="19"/>
  <c r="V90" i="19"/>
  <c r="U80" i="19"/>
  <c r="V86" i="19"/>
  <c r="W90" i="19"/>
  <c r="U100" i="19"/>
  <c r="AC64" i="19"/>
  <c r="W72" i="19"/>
  <c r="W86" i="19"/>
  <c r="U94" i="19"/>
  <c r="AD64" i="19"/>
  <c r="AC70" i="19"/>
  <c r="U88" i="19"/>
  <c r="V94" i="19"/>
  <c r="W98" i="19"/>
  <c r="U82" i="19"/>
  <c r="W94" i="19"/>
  <c r="V88" i="19"/>
  <c r="U74" i="19"/>
  <c r="V78" i="19"/>
  <c r="Z90" i="19"/>
  <c r="AD86" i="19" s="1"/>
  <c r="W100" i="19"/>
  <c r="U64" i="19"/>
  <c r="U70" i="19"/>
  <c r="V74" i="19"/>
  <c r="W78" i="19"/>
  <c r="V80" i="19"/>
  <c r="AA90" i="19"/>
  <c r="V82" i="19"/>
  <c r="W88" i="19"/>
  <c r="V64" i="19"/>
  <c r="U66" i="19"/>
  <c r="Y78" i="19"/>
  <c r="AC78" i="19" s="1"/>
  <c r="AA86" i="19"/>
  <c r="AE86" i="19" s="1"/>
  <c r="W64" i="19"/>
  <c r="V66" i="19"/>
  <c r="W70" i="19"/>
  <c r="V72" i="19"/>
  <c r="Y80" i="19"/>
  <c r="AA82" i="19"/>
  <c r="AE78" i="19" s="1"/>
  <c r="U96" i="19"/>
  <c r="AA74" i="18"/>
  <c r="Z70" i="18"/>
  <c r="V72" i="18"/>
  <c r="Z74" i="18"/>
  <c r="Y62" i="18"/>
  <c r="AC62" i="18" s="1"/>
  <c r="Q65" i="18" s="1"/>
  <c r="V84" i="18"/>
  <c r="W82" i="18"/>
  <c r="V58" i="18"/>
  <c r="W68" i="18"/>
  <c r="W72" i="18"/>
  <c r="U68" i="18"/>
  <c r="V68" i="18"/>
  <c r="W84" i="18"/>
  <c r="W58" i="18"/>
  <c r="U86" i="18"/>
  <c r="W62" i="18"/>
  <c r="W86" i="18"/>
  <c r="AC56" i="18"/>
  <c r="V64" i="18"/>
  <c r="U70" i="18"/>
  <c r="U74" i="18"/>
  <c r="U80" i="18"/>
  <c r="U84" i="18"/>
  <c r="AA56" i="18"/>
  <c r="AA62" i="18"/>
  <c r="Y68" i="18"/>
  <c r="V86" i="18"/>
  <c r="AA58" i="18"/>
  <c r="AA64" i="18"/>
  <c r="Z68" i="18"/>
  <c r="Y70" i="18"/>
  <c r="AA72" i="18"/>
  <c r="AA68" i="18"/>
  <c r="Z58" i="18"/>
  <c r="AD56" i="18" s="1"/>
  <c r="AA70" i="18"/>
  <c r="Z64" i="18"/>
  <c r="AD62" i="18" s="1"/>
  <c r="V56" i="18"/>
  <c r="U58" i="18"/>
  <c r="V62" i="18"/>
  <c r="U64" i="18"/>
  <c r="U72" i="18"/>
  <c r="W74" i="18"/>
  <c r="AL10" i="16"/>
  <c r="E51" i="15"/>
  <c r="V51" i="17"/>
  <c r="AC55" i="17"/>
  <c r="F54" i="17" s="1"/>
  <c r="U57" i="17"/>
  <c r="V69" i="17"/>
  <c r="AC61" i="17"/>
  <c r="F60" i="17" s="1"/>
  <c r="W69" i="17"/>
  <c r="W57" i="17"/>
  <c r="U55" i="17"/>
  <c r="AA55" i="17"/>
  <c r="AE55" i="17" s="1"/>
  <c r="H54" i="17" s="1"/>
  <c r="Z61" i="17"/>
  <c r="AD61" i="17" s="1"/>
  <c r="G60" i="17" s="1"/>
  <c r="V49" i="17"/>
  <c r="Y51" i="17"/>
  <c r="AC49" i="17" s="1"/>
  <c r="F47" i="17" s="1"/>
  <c r="W49" i="17"/>
  <c r="Z49" i="17"/>
  <c r="AD49" i="17" s="1"/>
  <c r="G47" i="17" s="1"/>
  <c r="U61" i="17"/>
  <c r="AA61" i="17"/>
  <c r="AE61" i="17" s="1"/>
  <c r="H60" i="17" s="1"/>
  <c r="W63" i="17"/>
  <c r="Z55" i="17"/>
  <c r="AD55" i="17" s="1"/>
  <c r="G54" i="17" s="1"/>
  <c r="U63" i="17"/>
  <c r="Y65" i="17"/>
  <c r="V65" i="17"/>
  <c r="U71" i="17"/>
  <c r="V63" i="17"/>
  <c r="S49" i="17"/>
  <c r="AA49" i="17" s="1"/>
  <c r="AE49" i="17" s="1"/>
  <c r="H47" i="17" s="1"/>
  <c r="V3" i="16"/>
  <c r="H59" i="16"/>
  <c r="H73" i="16" s="1"/>
  <c r="AX59" i="16"/>
  <c r="K53" i="16"/>
  <c r="K71" i="16" s="1"/>
  <c r="L54" i="16"/>
  <c r="L53" i="16"/>
  <c r="L71" i="16" s="1"/>
  <c r="G59" i="16"/>
  <c r="J60" i="16"/>
  <c r="J74" i="16" s="1"/>
  <c r="AN60" i="16"/>
  <c r="F56" i="16"/>
  <c r="F72" i="16" s="1"/>
  <c r="J59" i="16"/>
  <c r="J73" i="16" s="1"/>
  <c r="W4" i="16"/>
  <c r="K59" i="16"/>
  <c r="K73" i="16" s="1"/>
  <c r="K54" i="16"/>
  <c r="V5" i="16"/>
  <c r="G53" i="16"/>
  <c r="G71" i="16" s="1"/>
  <c r="R53" i="16"/>
  <c r="R71" i="16" s="1"/>
  <c r="T54" i="16"/>
  <c r="BF54" i="16" s="1"/>
  <c r="AM59" i="16"/>
  <c r="AV59" i="16" s="1"/>
  <c r="W5" i="16"/>
  <c r="S53" i="16"/>
  <c r="S71" i="16" s="1"/>
  <c r="AN59" i="16"/>
  <c r="AM60" i="16"/>
  <c r="T71" i="16"/>
  <c r="G73" i="16"/>
  <c r="V4" i="16"/>
  <c r="AM53" i="16"/>
  <c r="G56" i="16"/>
  <c r="G72" i="16" s="1"/>
  <c r="F60" i="16"/>
  <c r="F74" i="16" s="1"/>
  <c r="AN53" i="16"/>
  <c r="G60" i="16"/>
  <c r="G74" i="16" s="1"/>
  <c r="S3" i="16"/>
  <c r="O53" i="16"/>
  <c r="O71" i="16" s="1"/>
  <c r="R54" i="16"/>
  <c r="O4" i="16"/>
  <c r="AT60" i="16"/>
  <c r="AX60" i="16"/>
  <c r="H71" i="16"/>
  <c r="AD12" i="16" a="1"/>
  <c r="AX54" i="16"/>
  <c r="BB53" i="16"/>
  <c r="AT54" i="16"/>
  <c r="BB54" i="16"/>
  <c r="BF53" i="16"/>
  <c r="AT53" i="16"/>
  <c r="AJ4" i="16"/>
  <c r="V13" i="16" s="1" a="1"/>
  <c r="L74" i="16"/>
  <c r="Z13" i="16" a="1"/>
  <c r="AD10" i="16" a="1"/>
  <c r="AR57" i="16"/>
  <c r="S4" i="16"/>
  <c r="N5" i="16"/>
  <c r="X5" i="16"/>
  <c r="AV45" i="16"/>
  <c r="F54" i="16"/>
  <c r="N54" i="16"/>
  <c r="G57" i="16"/>
  <c r="AN57" i="16"/>
  <c r="G61" i="16"/>
  <c r="O61" i="16"/>
  <c r="T4" i="16"/>
  <c r="O5" i="16"/>
  <c r="AW45" i="16"/>
  <c r="F53" i="16"/>
  <c r="F71" i="16" s="1"/>
  <c r="N53" i="16"/>
  <c r="AZ53" i="16" s="1"/>
  <c r="G54" i="16"/>
  <c r="O54" i="16"/>
  <c r="H57" i="16"/>
  <c r="AO57" i="16"/>
  <c r="AS59" i="16"/>
  <c r="H61" i="16"/>
  <c r="P61" i="16"/>
  <c r="BE53" i="16"/>
  <c r="R4" i="16"/>
  <c r="F31" i="16"/>
  <c r="R5" i="16"/>
  <c r="Z10" i="16" a="1"/>
  <c r="AH10" i="16" a="1"/>
  <c r="G31" i="16"/>
  <c r="F33" i="16"/>
  <c r="J57" i="16"/>
  <c r="AV57" i="16" s="1"/>
  <c r="K60" i="16"/>
  <c r="J61" i="16"/>
  <c r="R61" i="16"/>
  <c r="O3" i="16"/>
  <c r="N4" i="16"/>
  <c r="S5" i="16"/>
  <c r="F32" i="16"/>
  <c r="G33" i="16"/>
  <c r="K57" i="16"/>
  <c r="K61" i="16"/>
  <c r="S61" i="16"/>
  <c r="S69" i="15"/>
  <c r="Q69" i="15"/>
  <c r="Y61" i="15" s="1"/>
  <c r="S61" i="15"/>
  <c r="R61" i="15"/>
  <c r="Z61" i="15" s="1"/>
  <c r="S55" i="15"/>
  <c r="Q55" i="15"/>
  <c r="G49" i="15"/>
  <c r="R55" i="15"/>
  <c r="Z55" i="15" s="1"/>
  <c r="F69" i="15"/>
  <c r="S49" i="15"/>
  <c r="J40" i="14"/>
  <c r="K40" i="14"/>
  <c r="J39" i="14"/>
  <c r="K39" i="14"/>
  <c r="L38" i="14"/>
  <c r="K38" i="14"/>
  <c r="E69" i="15"/>
  <c r="E55" i="15"/>
  <c r="F71" i="15"/>
  <c r="Q51" i="15"/>
  <c r="G55" i="15"/>
  <c r="G69" i="15"/>
  <c r="F51" i="15"/>
  <c r="E57" i="15"/>
  <c r="G71" i="15"/>
  <c r="E71" i="15"/>
  <c r="E65" i="15"/>
  <c r="G63" i="15"/>
  <c r="F63" i="15"/>
  <c r="G65" i="15"/>
  <c r="G61" i="15"/>
  <c r="F65" i="15"/>
  <c r="F61" i="15"/>
  <c r="E63" i="15"/>
  <c r="E61" i="15"/>
  <c r="U61" i="15" s="1"/>
  <c r="F57" i="15"/>
  <c r="Q49" i="15"/>
  <c r="R49" i="15"/>
  <c r="Z49" i="15" s="1"/>
  <c r="G57" i="15"/>
  <c r="F55" i="15"/>
  <c r="F49" i="15"/>
  <c r="E49" i="15"/>
  <c r="R42" i="7"/>
  <c r="S42" i="7"/>
  <c r="R41" i="7"/>
  <c r="S41" i="7"/>
  <c r="R40" i="7"/>
  <c r="S40" i="7"/>
  <c r="T37" i="7"/>
  <c r="S37" i="7"/>
  <c r="Q65" i="15"/>
  <c r="Q71" i="15"/>
  <c r="R51" i="15"/>
  <c r="R65" i="15"/>
  <c r="R71" i="15"/>
  <c r="S51" i="15"/>
  <c r="S65" i="15"/>
  <c r="S71" i="15"/>
  <c r="S4" i="3"/>
  <c r="T4" i="3"/>
  <c r="V5" i="3"/>
  <c r="R5" i="3"/>
  <c r="S5" i="3"/>
  <c r="R3" i="3"/>
  <c r="S3" i="3"/>
  <c r="O5" i="3"/>
  <c r="G33" i="14"/>
  <c r="G32" i="14"/>
  <c r="H32" i="14"/>
  <c r="H33" i="14"/>
  <c r="F32" i="14"/>
  <c r="N32" i="14" s="1" a="1"/>
  <c r="Z16" i="7" a="1"/>
  <c r="AB16" i="7" s="1"/>
  <c r="F33" i="14"/>
  <c r="G31" i="14"/>
  <c r="J59" i="14" a="1"/>
  <c r="L59" i="14" s="1"/>
  <c r="L73" i="14" s="1"/>
  <c r="R5" i="14"/>
  <c r="O4" i="14"/>
  <c r="V4" i="14"/>
  <c r="O3" i="14"/>
  <c r="AM59" i="14" a="1"/>
  <c r="AM59" i="14" s="1"/>
  <c r="N3" i="14"/>
  <c r="V3" i="14"/>
  <c r="T5" i="14"/>
  <c r="W5" i="14"/>
  <c r="W4" i="14"/>
  <c r="AH12" i="14" a="1"/>
  <c r="V13" i="14" a="1"/>
  <c r="V12" i="14" a="1"/>
  <c r="V15" i="14" a="1"/>
  <c r="J60" i="14" a="1"/>
  <c r="Z12" i="14" a="1"/>
  <c r="Z15" i="14" a="1"/>
  <c r="Z16" i="14" a="1"/>
  <c r="AD10" i="14" a="1"/>
  <c r="AD13" i="14" a="1"/>
  <c r="N4" i="14"/>
  <c r="P5" i="14"/>
  <c r="P4" i="14"/>
  <c r="V16" i="14" a="1"/>
  <c r="S5" i="14"/>
  <c r="S4" i="14"/>
  <c r="R4" i="14"/>
  <c r="S3" i="14"/>
  <c r="R3" i="14"/>
  <c r="Z13" i="14" a="1"/>
  <c r="V5" i="14"/>
  <c r="V10" i="14" a="1"/>
  <c r="W3" i="14"/>
  <c r="N5" i="14"/>
  <c r="Z10" i="14" a="1"/>
  <c r="AH13" i="14" a="1"/>
  <c r="AH10" i="14" a="1"/>
  <c r="AD12" i="14" a="1"/>
  <c r="Q101" i="13"/>
  <c r="R95" i="13"/>
  <c r="S91" i="13"/>
  <c r="S87" i="13"/>
  <c r="G65" i="13"/>
  <c r="S65" i="13" s="1"/>
  <c r="S81" i="13"/>
  <c r="F79" i="13"/>
  <c r="R79" i="13" s="1"/>
  <c r="R73" i="13"/>
  <c r="Q73" i="13"/>
  <c r="E79" i="13"/>
  <c r="Q79" i="13" s="1"/>
  <c r="Q87" i="13"/>
  <c r="E65" i="13"/>
  <c r="Q65" i="13" s="1"/>
  <c r="E67" i="13"/>
  <c r="Q67" i="13" s="1"/>
  <c r="Q81" i="13"/>
  <c r="Q89" i="13"/>
  <c r="Q95" i="13"/>
  <c r="AD64" i="13"/>
  <c r="AE64" i="13"/>
  <c r="AC64" i="13"/>
  <c r="N5" i="7"/>
  <c r="O4" i="7"/>
  <c r="V5" i="7"/>
  <c r="AJ4" i="7"/>
  <c r="Z11" i="7" s="1" a="1"/>
  <c r="AJ3" i="7"/>
  <c r="W5" i="7"/>
  <c r="X5" i="7"/>
  <c r="O5" i="7"/>
  <c r="P5" i="7"/>
  <c r="W3" i="7"/>
  <c r="V4" i="7"/>
  <c r="N3" i="7"/>
  <c r="W4" i="7"/>
  <c r="R5" i="7"/>
  <c r="O3" i="7"/>
  <c r="N4" i="7"/>
  <c r="S5" i="7"/>
  <c r="X4" i="3"/>
  <c r="X5" i="3"/>
  <c r="W3" i="3"/>
  <c r="W5" i="3"/>
  <c r="V3" i="3"/>
  <c r="V4" i="3"/>
  <c r="W4" i="3"/>
  <c r="N3" i="3"/>
  <c r="P4" i="3"/>
  <c r="O3" i="3"/>
  <c r="O4" i="3"/>
  <c r="N5" i="3"/>
  <c r="N4" i="3"/>
  <c r="AE62" i="18" l="1"/>
  <c r="S50" i="21"/>
  <c r="S52" i="21"/>
  <c r="S62" i="21"/>
  <c r="Q70" i="21"/>
  <c r="Q72" i="21"/>
  <c r="R72" i="21"/>
  <c r="R70" i="21"/>
  <c r="Q50" i="21"/>
  <c r="Q52" i="21"/>
  <c r="Q62" i="21"/>
  <c r="R50" i="21"/>
  <c r="R52" i="21"/>
  <c r="R62" i="21"/>
  <c r="S72" i="21"/>
  <c r="S70" i="21"/>
  <c r="S50" i="20"/>
  <c r="S62" i="20"/>
  <c r="S52" i="20"/>
  <c r="R50" i="20"/>
  <c r="R62" i="20"/>
  <c r="R52" i="20"/>
  <c r="Q70" i="20"/>
  <c r="Q72" i="20"/>
  <c r="S64" i="20"/>
  <c r="S66" i="20"/>
  <c r="S58" i="20"/>
  <c r="S56" i="20"/>
  <c r="Q56" i="20"/>
  <c r="Q58" i="20"/>
  <c r="R56" i="20"/>
  <c r="R58" i="20"/>
  <c r="R72" i="20"/>
  <c r="R70" i="20"/>
  <c r="R97" i="19"/>
  <c r="R101" i="19"/>
  <c r="R95" i="19"/>
  <c r="R99" i="19"/>
  <c r="Q81" i="19"/>
  <c r="Q83" i="19"/>
  <c r="Q99" i="19"/>
  <c r="Q95" i="19"/>
  <c r="Q97" i="19"/>
  <c r="Q101" i="19"/>
  <c r="S97" i="19"/>
  <c r="S99" i="19"/>
  <c r="S101" i="19"/>
  <c r="S95" i="19"/>
  <c r="Q67" i="19"/>
  <c r="Q79" i="19"/>
  <c r="Q65" i="19"/>
  <c r="Q75" i="19"/>
  <c r="Q73" i="19"/>
  <c r="Q71" i="19"/>
  <c r="Q87" i="19"/>
  <c r="Q89" i="19"/>
  <c r="Q91" i="19"/>
  <c r="AE68" i="18"/>
  <c r="AD68" i="18"/>
  <c r="Q63" i="18"/>
  <c r="AE56" i="18"/>
  <c r="Q57" i="18"/>
  <c r="Q59" i="18"/>
  <c r="AC68" i="18"/>
  <c r="AA51" i="15"/>
  <c r="AE49" i="15" s="1"/>
  <c r="H47" i="15" s="1"/>
  <c r="G52" i="15" s="1"/>
  <c r="S52" i="15" s="1"/>
  <c r="AA65" i="15"/>
  <c r="AA55" i="15"/>
  <c r="Z65" i="15"/>
  <c r="AD61" i="15" s="1"/>
  <c r="G60" i="15" s="1"/>
  <c r="Z51" i="15"/>
  <c r="Y65" i="15"/>
  <c r="AC61" i="15" s="1"/>
  <c r="F60" i="15" s="1"/>
  <c r="AA61" i="15"/>
  <c r="Y55" i="15"/>
  <c r="Y49" i="15"/>
  <c r="U51" i="15"/>
  <c r="Y51" i="15"/>
  <c r="W49" i="15"/>
  <c r="AA49" i="15"/>
  <c r="E50" i="17"/>
  <c r="Q50" i="17" s="1"/>
  <c r="E52" i="17"/>
  <c r="Q52" i="17" s="1"/>
  <c r="E62" i="17"/>
  <c r="Q62" i="17" s="1"/>
  <c r="F52" i="17"/>
  <c r="R52" i="17" s="1"/>
  <c r="F50" i="17"/>
  <c r="R50" i="17" s="1"/>
  <c r="F62" i="17"/>
  <c r="R62" i="17" s="1"/>
  <c r="F68" i="17"/>
  <c r="E64" i="17"/>
  <c r="Q64" i="17" s="1"/>
  <c r="E66" i="17"/>
  <c r="Q66" i="17" s="1"/>
  <c r="F56" i="17"/>
  <c r="R56" i="17" s="1"/>
  <c r="F58" i="17"/>
  <c r="R58" i="17" s="1"/>
  <c r="G68" i="17"/>
  <c r="F64" i="17"/>
  <c r="R64" i="17" s="1"/>
  <c r="F66" i="17"/>
  <c r="R66" i="17" s="1"/>
  <c r="E56" i="17"/>
  <c r="Q56" i="17" s="1"/>
  <c r="E58" i="17"/>
  <c r="Q58" i="17" s="1"/>
  <c r="G58" i="17"/>
  <c r="S58" i="17" s="1"/>
  <c r="G56" i="17"/>
  <c r="S56" i="17" s="1"/>
  <c r="G50" i="17"/>
  <c r="S50" i="17" s="1"/>
  <c r="G52" i="17"/>
  <c r="S52" i="17" s="1"/>
  <c r="G62" i="17"/>
  <c r="S62" i="17" s="1"/>
  <c r="G64" i="17"/>
  <c r="S64" i="17" s="1"/>
  <c r="G66" i="17"/>
  <c r="S66" i="17" s="1"/>
  <c r="H68" i="17"/>
  <c r="AV60" i="16"/>
  <c r="AW60" i="16"/>
  <c r="AS53" i="16"/>
  <c r="BN53" i="16" s="1"/>
  <c r="AS60" i="16"/>
  <c r="AT59" i="16"/>
  <c r="BD54" i="16"/>
  <c r="AZ54" i="16"/>
  <c r="AH12" i="16" a="1"/>
  <c r="AJ12" i="16" s="1"/>
  <c r="Z12" i="16" a="1"/>
  <c r="AA12" i="16" s="1"/>
  <c r="AR54" i="16"/>
  <c r="BI54" i="16" s="1"/>
  <c r="AW59" i="16"/>
  <c r="BJ53" i="16"/>
  <c r="AS54" i="16"/>
  <c r="BJ54" i="16" s="1"/>
  <c r="AR59" i="16"/>
  <c r="AR53" i="16"/>
  <c r="AW54" i="16"/>
  <c r="BA54" i="16"/>
  <c r="AX53" i="16"/>
  <c r="AR60" i="16"/>
  <c r="BP60" i="16" s="1"/>
  <c r="J56" i="16" a="1"/>
  <c r="L56" i="16" s="1"/>
  <c r="L72" i="16" s="1"/>
  <c r="AV53" i="16"/>
  <c r="AV54" i="16"/>
  <c r="BA53" i="16"/>
  <c r="BE54" i="16"/>
  <c r="AW53" i="16"/>
  <c r="BD53" i="16"/>
  <c r="X13" i="16"/>
  <c r="W13" i="16"/>
  <c r="V13" i="16"/>
  <c r="AA10" i="16"/>
  <c r="Z10" i="16"/>
  <c r="AB10" i="16"/>
  <c r="K74" i="16"/>
  <c r="AS57" i="16"/>
  <c r="AW57" i="16"/>
  <c r="AF10" i="16"/>
  <c r="AE10" i="16"/>
  <c r="AD10" i="16"/>
  <c r="BM53" i="16"/>
  <c r="BI53" i="16"/>
  <c r="BO53" i="16"/>
  <c r="BK53" i="16"/>
  <c r="BN60" i="16"/>
  <c r="BJ60" i="16"/>
  <c r="BN59" i="16"/>
  <c r="BJ59" i="16"/>
  <c r="F55" i="16" a="1"/>
  <c r="N71" i="16"/>
  <c r="R62" i="16" a="1"/>
  <c r="BO59" i="16"/>
  <c r="BK59" i="16"/>
  <c r="AT57" i="16"/>
  <c r="AX57" i="16"/>
  <c r="Z15" i="16" a="1"/>
  <c r="AH13" i="16" a="1"/>
  <c r="AE12" i="16"/>
  <c r="AD12" i="16"/>
  <c r="AF12" i="16"/>
  <c r="J62" i="16" a="1"/>
  <c r="BP59" i="16"/>
  <c r="BI59" i="16"/>
  <c r="BM59" i="16"/>
  <c r="AM56" i="16" a="1"/>
  <c r="N55" i="16" a="1"/>
  <c r="BK54" i="16"/>
  <c r="BO54" i="16"/>
  <c r="N35" i="16" a="1"/>
  <c r="R55" i="16" a="1"/>
  <c r="J39" i="16" a="1"/>
  <c r="N37" i="16" a="1"/>
  <c r="J40" i="16" a="1"/>
  <c r="J38" i="16" a="1"/>
  <c r="N36" i="16" a="1"/>
  <c r="F62" i="16" a="1"/>
  <c r="N32" i="16" a="1"/>
  <c r="J41" i="16" a="1"/>
  <c r="F58" i="16" a="1"/>
  <c r="N62" i="16" a="1"/>
  <c r="BP57" i="16"/>
  <c r="BM57" i="16"/>
  <c r="BI57" i="16"/>
  <c r="AD13" i="16" a="1"/>
  <c r="V12" i="16" a="1"/>
  <c r="J55" i="16" a="1"/>
  <c r="BO60" i="16"/>
  <c r="BK60" i="16"/>
  <c r="AI10" i="16"/>
  <c r="AH10" i="16"/>
  <c r="AJ10" i="16"/>
  <c r="BM54" i="16"/>
  <c r="AA13" i="16"/>
  <c r="Z13" i="16"/>
  <c r="AB13" i="16"/>
  <c r="J58" i="16" a="1"/>
  <c r="U69" i="15"/>
  <c r="U55" i="15"/>
  <c r="U65" i="15"/>
  <c r="W69" i="15"/>
  <c r="V51" i="15"/>
  <c r="V71" i="15"/>
  <c r="W55" i="15"/>
  <c r="V69" i="15"/>
  <c r="V61" i="15"/>
  <c r="AE61" i="15"/>
  <c r="H60" i="15" s="1"/>
  <c r="V55" i="15"/>
  <c r="V49" i="15"/>
  <c r="W71" i="15"/>
  <c r="U71" i="15"/>
  <c r="W65" i="15"/>
  <c r="W61" i="15"/>
  <c r="V65" i="15"/>
  <c r="W51" i="15"/>
  <c r="U49" i="15"/>
  <c r="N32" i="14"/>
  <c r="P32" i="14"/>
  <c r="O32" i="14"/>
  <c r="N37" i="14" a="1"/>
  <c r="N35" i="14" a="1"/>
  <c r="N36" i="14" a="1"/>
  <c r="AD49" i="15"/>
  <c r="G47" i="15" s="1"/>
  <c r="F58" i="14" a="1"/>
  <c r="J58" i="14" a="1"/>
  <c r="L58" i="14" s="1"/>
  <c r="J55" i="14" a="1"/>
  <c r="L55" i="14" s="1"/>
  <c r="R53" i="14" a="1"/>
  <c r="T53" i="14" s="1"/>
  <c r="T71" i="14" s="1"/>
  <c r="N61" i="14" a="1"/>
  <c r="P61" i="14" s="1"/>
  <c r="N54" i="14" a="1"/>
  <c r="P54" i="14" s="1"/>
  <c r="G48" i="14"/>
  <c r="F54" i="14" a="1"/>
  <c r="H54" i="14" s="1"/>
  <c r="R55" i="14" a="1"/>
  <c r="R55" i="14" s="1"/>
  <c r="R62" i="14" a="1"/>
  <c r="S62" i="14" s="1"/>
  <c r="BE62" i="14" s="1"/>
  <c r="J56" i="14" a="1"/>
  <c r="L56" i="14" s="1"/>
  <c r="L72" i="14" s="1"/>
  <c r="F62" i="14" a="1"/>
  <c r="H62" i="14" s="1"/>
  <c r="AT62" i="14" s="1"/>
  <c r="N53" i="14" a="1"/>
  <c r="P53" i="14" s="1"/>
  <c r="P71" i="14" s="1"/>
  <c r="F56" i="14" a="1"/>
  <c r="F56" i="14" s="1"/>
  <c r="F72" i="14" s="1"/>
  <c r="AV45" i="14" a="1"/>
  <c r="AV45" i="14" s="1"/>
  <c r="F61" i="14" a="1"/>
  <c r="F61" i="14" s="1"/>
  <c r="R54" i="14" a="1"/>
  <c r="T54" i="14" s="1"/>
  <c r="AM57" i="14" a="1"/>
  <c r="J61" i="14" a="1"/>
  <c r="J61" i="14" s="1"/>
  <c r="N55" i="14" a="1"/>
  <c r="P55" i="14" s="1"/>
  <c r="AA16" i="7"/>
  <c r="Z16" i="7"/>
  <c r="AO59" i="14"/>
  <c r="AX59" i="14" s="1"/>
  <c r="F59" i="14" a="1"/>
  <c r="F59" i="14" s="1"/>
  <c r="F73" i="14" s="1"/>
  <c r="N62" i="14" a="1"/>
  <c r="J54" i="14" a="1"/>
  <c r="J53" i="14" a="1"/>
  <c r="R61" i="14" a="1"/>
  <c r="AM60" i="14" a="1"/>
  <c r="J57" i="14" a="1"/>
  <c r="AM56" i="14" a="1"/>
  <c r="K59" i="14"/>
  <c r="K73" i="14" s="1"/>
  <c r="F53" i="14" a="1"/>
  <c r="F57" i="14" a="1"/>
  <c r="AM53" i="14" a="1"/>
  <c r="J62" i="14" a="1"/>
  <c r="J59" i="14"/>
  <c r="J73" i="14" s="1"/>
  <c r="AN59" i="14"/>
  <c r="F55" i="14" a="1"/>
  <c r="F60" i="14" a="1"/>
  <c r="Z10" i="14"/>
  <c r="AB10" i="14"/>
  <c r="AA10" i="14"/>
  <c r="X10" i="14"/>
  <c r="W10" i="14"/>
  <c r="V10" i="14"/>
  <c r="AF10" i="14"/>
  <c r="AE10" i="14"/>
  <c r="AD10" i="14"/>
  <c r="AB15" i="14"/>
  <c r="AA15" i="14"/>
  <c r="Z15" i="14"/>
  <c r="W15" i="14"/>
  <c r="V15" i="14"/>
  <c r="X15" i="14"/>
  <c r="X13" i="14"/>
  <c r="W13" i="14"/>
  <c r="V13" i="14"/>
  <c r="Z13" i="14"/>
  <c r="AB13" i="14"/>
  <c r="AA13" i="14"/>
  <c r="AB12" i="14"/>
  <c r="AA12" i="14"/>
  <c r="Z12" i="14"/>
  <c r="V12" i="14"/>
  <c r="X12" i="14"/>
  <c r="W12" i="14"/>
  <c r="AJ12" i="14"/>
  <c r="AI12" i="14"/>
  <c r="AH12" i="14"/>
  <c r="AB16" i="14"/>
  <c r="AA16" i="14"/>
  <c r="Z16" i="14"/>
  <c r="X16" i="14"/>
  <c r="W16" i="14"/>
  <c r="V16" i="14"/>
  <c r="AF13" i="14"/>
  <c r="AE13" i="14"/>
  <c r="AD13" i="14"/>
  <c r="AD12" i="14"/>
  <c r="AF12" i="14"/>
  <c r="AE12" i="14"/>
  <c r="AH10" i="14"/>
  <c r="AJ10" i="14"/>
  <c r="AI10" i="14"/>
  <c r="H58" i="14"/>
  <c r="G58" i="14"/>
  <c r="F58" i="14"/>
  <c r="AH13" i="14"/>
  <c r="AJ13" i="14"/>
  <c r="AI13" i="14"/>
  <c r="L60" i="14"/>
  <c r="K60" i="14"/>
  <c r="K74" i="14" s="1"/>
  <c r="J60" i="14"/>
  <c r="J74" i="14" s="1"/>
  <c r="AB11" i="7"/>
  <c r="Z11" i="7"/>
  <c r="AA11" i="7"/>
  <c r="Z18" i="7" a="1"/>
  <c r="Z13" i="7" a="1"/>
  <c r="AD11" i="7" a="1"/>
  <c r="AF11" i="7" s="1"/>
  <c r="Z14" i="7" a="1"/>
  <c r="AH13" i="7" a="1"/>
  <c r="AH13" i="7" s="1"/>
  <c r="BE16" i="7" a="1"/>
  <c r="BF16" i="7" s="1"/>
  <c r="R20" i="13" s="1"/>
  <c r="AL14" i="7" a="1"/>
  <c r="AL14" i="7" s="1"/>
  <c r="AP13" i="7" a="1"/>
  <c r="AR13" i="7" s="1"/>
  <c r="AH11" i="7" a="1"/>
  <c r="AP14" i="7" a="1"/>
  <c r="AP11" i="7" a="1"/>
  <c r="AH14" i="7" a="1"/>
  <c r="AD13" i="7" a="1"/>
  <c r="AD14" i="7" a="1"/>
  <c r="AD18" i="7" a="1"/>
  <c r="AH18" i="7" a="1"/>
  <c r="AL13" i="7" a="1"/>
  <c r="AL11" i="7" a="1"/>
  <c r="P32" i="12"/>
  <c r="O32" i="12"/>
  <c r="N32" i="12"/>
  <c r="P30" i="12"/>
  <c r="O30" i="12"/>
  <c r="N30" i="12"/>
  <c r="P28" i="12"/>
  <c r="O28" i="12"/>
  <c r="N28" i="12"/>
  <c r="P26" i="12"/>
  <c r="O26" i="12"/>
  <c r="N26" i="12"/>
  <c r="P24" i="12"/>
  <c r="O24" i="12"/>
  <c r="N24" i="12"/>
  <c r="V32" i="12"/>
  <c r="U32" i="12"/>
  <c r="V30" i="12"/>
  <c r="U30" i="12"/>
  <c r="V28" i="12"/>
  <c r="U28" i="12"/>
  <c r="V26" i="12"/>
  <c r="U26" i="12"/>
  <c r="V24" i="12"/>
  <c r="U24" i="12"/>
  <c r="V20" i="12"/>
  <c r="U20" i="12"/>
  <c r="V18" i="12"/>
  <c r="U18" i="12"/>
  <c r="V16" i="12"/>
  <c r="U16" i="12"/>
  <c r="P20" i="12"/>
  <c r="O20" i="12"/>
  <c r="N20" i="12"/>
  <c r="P18" i="12"/>
  <c r="O18" i="12"/>
  <c r="N18" i="12"/>
  <c r="P16" i="12"/>
  <c r="O16" i="12"/>
  <c r="N16" i="12"/>
  <c r="P12" i="12"/>
  <c r="O12" i="12"/>
  <c r="N12" i="12"/>
  <c r="P10" i="12"/>
  <c r="O10" i="12"/>
  <c r="N10" i="12"/>
  <c r="V12" i="12"/>
  <c r="U12" i="12"/>
  <c r="V10" i="12"/>
  <c r="U10" i="12"/>
  <c r="V8" i="12"/>
  <c r="U8" i="12"/>
  <c r="P8" i="12"/>
  <c r="O8" i="12"/>
  <c r="N8" i="12"/>
  <c r="S72" i="20" l="1"/>
  <c r="S70" i="20"/>
  <c r="S71" i="18"/>
  <c r="S73" i="18"/>
  <c r="S69" i="18"/>
  <c r="S75" i="18"/>
  <c r="S83" i="18"/>
  <c r="S87" i="18"/>
  <c r="S81" i="18"/>
  <c r="S79" i="18"/>
  <c r="R69" i="18"/>
  <c r="R71" i="18"/>
  <c r="R73" i="18"/>
  <c r="R75" i="18"/>
  <c r="R79" i="18"/>
  <c r="R83" i="18"/>
  <c r="R87" i="18"/>
  <c r="R81" i="18"/>
  <c r="AC49" i="15"/>
  <c r="F47" i="15" s="1"/>
  <c r="E50" i="15" s="1"/>
  <c r="Q50" i="15" s="1"/>
  <c r="G64" i="15"/>
  <c r="S64" i="15" s="1"/>
  <c r="H68" i="15"/>
  <c r="G72" i="15" s="1"/>
  <c r="S72" i="15" s="1"/>
  <c r="F66" i="15"/>
  <c r="R66" i="15" s="1"/>
  <c r="G68" i="15"/>
  <c r="F72" i="15" s="1"/>
  <c r="R72" i="15" s="1"/>
  <c r="E64" i="15"/>
  <c r="Q64" i="15" s="1"/>
  <c r="F68" i="15"/>
  <c r="E70" i="15" s="1"/>
  <c r="Q70" i="15" s="1"/>
  <c r="E70" i="17"/>
  <c r="Q70" i="17" s="1"/>
  <c r="E72" i="17"/>
  <c r="Q72" i="17" s="1"/>
  <c r="G72" i="17"/>
  <c r="S72" i="17" s="1"/>
  <c r="G70" i="17"/>
  <c r="S70" i="17" s="1"/>
  <c r="F72" i="17"/>
  <c r="R72" i="17" s="1"/>
  <c r="F70" i="17"/>
  <c r="R70" i="17" s="1"/>
  <c r="BP54" i="16"/>
  <c r="BP53" i="16"/>
  <c r="K56" i="16"/>
  <c r="K72" i="16" s="1"/>
  <c r="AB12" i="16"/>
  <c r="Z12" i="16"/>
  <c r="AH12" i="16"/>
  <c r="AI12" i="16"/>
  <c r="AL13" i="16" a="1"/>
  <c r="AN13" i="16" s="1"/>
  <c r="BN54" i="16"/>
  <c r="BM60" i="16"/>
  <c r="BI60" i="16"/>
  <c r="J56" i="16"/>
  <c r="J72" i="16" s="1"/>
  <c r="L40" i="16"/>
  <c r="K40" i="16"/>
  <c r="J40" i="16"/>
  <c r="J55" i="16"/>
  <c r="AV55" i="16" s="1"/>
  <c r="L55" i="16"/>
  <c r="AX55" i="16" s="1"/>
  <c r="K55" i="16"/>
  <c r="AW55" i="16" s="1"/>
  <c r="H58" i="16"/>
  <c r="AT58" i="16" s="1"/>
  <c r="G58" i="16"/>
  <c r="AS58" i="16" s="1"/>
  <c r="F58" i="16"/>
  <c r="AR58" i="16" s="1"/>
  <c r="J39" i="16"/>
  <c r="L39" i="16"/>
  <c r="K39" i="16"/>
  <c r="AT12" i="16" a="1"/>
  <c r="AT10" i="16" a="1"/>
  <c r="W12" i="16"/>
  <c r="X12" i="16"/>
  <c r="V12" i="16"/>
  <c r="J41" i="16"/>
  <c r="L41" i="16"/>
  <c r="K41" i="16"/>
  <c r="T55" i="16"/>
  <c r="BF55" i="16" s="1"/>
  <c r="R55" i="16"/>
  <c r="BD55" i="16" s="1"/>
  <c r="S55" i="16"/>
  <c r="BE55" i="16" s="1"/>
  <c r="P55" i="16"/>
  <c r="BB55" i="16" s="1"/>
  <c r="O55" i="16"/>
  <c r="BA55" i="16" s="1"/>
  <c r="N55" i="16"/>
  <c r="AZ55" i="16" s="1"/>
  <c r="N62" i="16"/>
  <c r="AZ62" i="16" s="1"/>
  <c r="P62" i="16"/>
  <c r="BB62" i="16" s="1"/>
  <c r="O62" i="16"/>
  <c r="BA62" i="16" s="1"/>
  <c r="P32" i="16"/>
  <c r="H48" i="16" s="1"/>
  <c r="O32" i="16"/>
  <c r="G48" i="16" s="1"/>
  <c r="N32" i="16"/>
  <c r="F48" i="16" s="1"/>
  <c r="N35" i="16"/>
  <c r="P35" i="16"/>
  <c r="O35" i="16"/>
  <c r="AM56" i="16"/>
  <c r="AN56" i="16"/>
  <c r="AO56" i="16"/>
  <c r="AI13" i="16"/>
  <c r="AJ13" i="16"/>
  <c r="AH13" i="16"/>
  <c r="BO57" i="16"/>
  <c r="BK57" i="16"/>
  <c r="K58" i="16"/>
  <c r="AW58" i="16" s="1"/>
  <c r="J58" i="16"/>
  <c r="AV58" i="16" s="1"/>
  <c r="L58" i="16"/>
  <c r="AX58" i="16" s="1"/>
  <c r="AP13" i="16" a="1"/>
  <c r="F62" i="16"/>
  <c r="AR62" i="16" s="1"/>
  <c r="H62" i="16"/>
  <c r="AT62" i="16" s="1"/>
  <c r="G62" i="16"/>
  <c r="AS62" i="16" s="1"/>
  <c r="AB15" i="16"/>
  <c r="AA15" i="16"/>
  <c r="Z15" i="16"/>
  <c r="L62" i="16"/>
  <c r="AX62" i="16" s="1"/>
  <c r="K62" i="16"/>
  <c r="AW62" i="16" s="1"/>
  <c r="J62" i="16"/>
  <c r="AV62" i="16" s="1"/>
  <c r="P37" i="16"/>
  <c r="N37" i="16"/>
  <c r="O37" i="16"/>
  <c r="AX10" i="16" a="1"/>
  <c r="P36" i="16"/>
  <c r="O36" i="16"/>
  <c r="N36" i="16"/>
  <c r="T62" i="16"/>
  <c r="BF62" i="16" s="1"/>
  <c r="S62" i="16"/>
  <c r="BE62" i="16" s="1"/>
  <c r="R62" i="16"/>
  <c r="BD62" i="16" s="1"/>
  <c r="AP10" i="16" a="1"/>
  <c r="H55" i="16"/>
  <c r="AT55" i="16" s="1"/>
  <c r="G55" i="16"/>
  <c r="AS55" i="16" s="1"/>
  <c r="F55" i="16"/>
  <c r="AR55" i="16" s="1"/>
  <c r="AF13" i="16"/>
  <c r="AE13" i="16"/>
  <c r="AD13" i="16"/>
  <c r="AX12" i="16" a="1"/>
  <c r="L38" i="16"/>
  <c r="K38" i="16"/>
  <c r="J38" i="16"/>
  <c r="BN57" i="16"/>
  <c r="BJ57" i="16"/>
  <c r="G66" i="15"/>
  <c r="S66" i="15" s="1"/>
  <c r="G62" i="15"/>
  <c r="S62" i="15" s="1"/>
  <c r="G50" i="15"/>
  <c r="S50" i="15" s="1"/>
  <c r="E66" i="15"/>
  <c r="Q66" i="15" s="1"/>
  <c r="F64" i="15"/>
  <c r="R64" i="15" s="1"/>
  <c r="E62" i="15"/>
  <c r="Q62" i="15" s="1"/>
  <c r="E52" i="15"/>
  <c r="Q52" i="15" s="1"/>
  <c r="P36" i="14"/>
  <c r="N36" i="14"/>
  <c r="O36" i="14"/>
  <c r="P35" i="14"/>
  <c r="N35" i="14"/>
  <c r="O35" i="14"/>
  <c r="O37" i="14"/>
  <c r="P37" i="14"/>
  <c r="N37" i="14"/>
  <c r="S53" i="14"/>
  <c r="S71" i="14" s="1"/>
  <c r="F50" i="15"/>
  <c r="R50" i="15" s="1"/>
  <c r="F52" i="15"/>
  <c r="R52" i="15" s="1"/>
  <c r="F62" i="15"/>
  <c r="R62" i="15" s="1"/>
  <c r="R53" i="14"/>
  <c r="R71" i="14" s="1"/>
  <c r="F54" i="14"/>
  <c r="G54" i="14"/>
  <c r="O54" i="14"/>
  <c r="H48" i="14"/>
  <c r="J55" i="14"/>
  <c r="J58" i="14"/>
  <c r="K55" i="14"/>
  <c r="AL10" i="14" a="1"/>
  <c r="AL10" i="14" s="1"/>
  <c r="K58" i="14"/>
  <c r="N54" i="14"/>
  <c r="F48" i="14"/>
  <c r="O61" i="14"/>
  <c r="N61" i="14"/>
  <c r="T55" i="14"/>
  <c r="S55" i="14"/>
  <c r="R62" i="14"/>
  <c r="BD62" i="14" s="1"/>
  <c r="S54" i="14"/>
  <c r="T62" i="14"/>
  <c r="BF62" i="14" s="1"/>
  <c r="R54" i="14"/>
  <c r="J56" i="14"/>
  <c r="J72" i="14" s="1"/>
  <c r="K56" i="14"/>
  <c r="K72" i="14" s="1"/>
  <c r="G56" i="14"/>
  <c r="G72" i="14" s="1"/>
  <c r="F62" i="14"/>
  <c r="AR62" i="14" s="1"/>
  <c r="O53" i="14"/>
  <c r="O71" i="14" s="1"/>
  <c r="G62" i="14"/>
  <c r="AS62" i="14" s="1"/>
  <c r="AX45" i="14"/>
  <c r="AW45" i="14"/>
  <c r="N53" i="14"/>
  <c r="N71" i="14" s="1"/>
  <c r="O55" i="14"/>
  <c r="G61" i="14"/>
  <c r="L61" i="14"/>
  <c r="AO57" i="14"/>
  <c r="AX58" i="14" s="1"/>
  <c r="AM57" i="14"/>
  <c r="H61" i="14"/>
  <c r="H56" i="14"/>
  <c r="H72" i="14" s="1"/>
  <c r="K61" i="14"/>
  <c r="AN57" i="14"/>
  <c r="AS58" i="14" s="1"/>
  <c r="N55" i="14"/>
  <c r="AW59" i="14"/>
  <c r="AV59" i="14"/>
  <c r="AR59" i="14"/>
  <c r="BI59" i="14" s="1"/>
  <c r="H59" i="14"/>
  <c r="H73" i="14" s="1"/>
  <c r="G59" i="14"/>
  <c r="G73" i="14" s="1"/>
  <c r="AT16" i="7" a="1"/>
  <c r="AU16" i="7" s="1"/>
  <c r="R50" i="13" s="1"/>
  <c r="AX12" i="14" a="1"/>
  <c r="AX12" i="14" s="1"/>
  <c r="P62" i="14"/>
  <c r="BB62" i="14" s="1"/>
  <c r="O62" i="14"/>
  <c r="BA62" i="14" s="1"/>
  <c r="N62" i="14"/>
  <c r="AZ62" i="14" s="1"/>
  <c r="S61" i="14"/>
  <c r="R61" i="14"/>
  <c r="T61" i="14"/>
  <c r="J53" i="14"/>
  <c r="J71" i="14" s="1"/>
  <c r="L53" i="14"/>
  <c r="L71" i="14" s="1"/>
  <c r="K53" i="14"/>
  <c r="K71" i="14" s="1"/>
  <c r="L54" i="14"/>
  <c r="K54" i="14"/>
  <c r="J54" i="14"/>
  <c r="G55" i="14"/>
  <c r="H55" i="14"/>
  <c r="F55" i="14"/>
  <c r="J62" i="14"/>
  <c r="AV62" i="14" s="1"/>
  <c r="L62" i="14"/>
  <c r="AX62" i="14" s="1"/>
  <c r="K62" i="14"/>
  <c r="AW62" i="14" s="1"/>
  <c r="AO56" i="14"/>
  <c r="AX56" i="14" s="1"/>
  <c r="AM56" i="14"/>
  <c r="AN56" i="14"/>
  <c r="AO53" i="14"/>
  <c r="BF53" i="14" s="1"/>
  <c r="AN53" i="14"/>
  <c r="AM53" i="14"/>
  <c r="L57" i="14"/>
  <c r="K57" i="14"/>
  <c r="J57" i="14"/>
  <c r="H57" i="14"/>
  <c r="G57" i="14"/>
  <c r="F57" i="14"/>
  <c r="AO60" i="14"/>
  <c r="AM60" i="14"/>
  <c r="AV60" i="14" s="1"/>
  <c r="AN60" i="14"/>
  <c r="AW60" i="14" s="1"/>
  <c r="G53" i="14"/>
  <c r="G71" i="14" s="1"/>
  <c r="F53" i="14"/>
  <c r="F71" i="14" s="1"/>
  <c r="H53" i="14"/>
  <c r="H71" i="14" s="1"/>
  <c r="H60" i="14"/>
  <c r="H74" i="14" s="1"/>
  <c r="F60" i="14"/>
  <c r="F74" i="14" s="1"/>
  <c r="G60" i="14"/>
  <c r="G74" i="14" s="1"/>
  <c r="AP12" i="14" a="1"/>
  <c r="AR12" i="14" s="1"/>
  <c r="AT13" i="14" a="1"/>
  <c r="AV13" i="14" s="1"/>
  <c r="AL12" i="14" a="1"/>
  <c r="AL12" i="14" s="1"/>
  <c r="AX13" i="14" a="1"/>
  <c r="AZ13" i="14" s="1"/>
  <c r="AL15" i="14" a="1"/>
  <c r="AN15" i="14" s="1"/>
  <c r="AX10" i="14" a="1"/>
  <c r="AP15" i="14" a="1"/>
  <c r="AT10" i="14" a="1"/>
  <c r="AP10" i="14" a="1"/>
  <c r="AP13" i="14" a="1"/>
  <c r="AL13" i="14" a="1"/>
  <c r="AP16" i="14" a="1"/>
  <c r="L74" i="14"/>
  <c r="AT12" i="14" a="1"/>
  <c r="AL16" i="14" a="1"/>
  <c r="AD11" i="7"/>
  <c r="AW11" i="7" s="1" a="1"/>
  <c r="AX11" i="7" s="1"/>
  <c r="R42" i="13" s="1"/>
  <c r="AE11" i="7"/>
  <c r="AB14" i="7"/>
  <c r="Z14" i="7"/>
  <c r="AA14" i="7"/>
  <c r="AB13" i="7"/>
  <c r="AA13" i="7"/>
  <c r="AT13" i="7" s="1" a="1"/>
  <c r="Z13" i="7"/>
  <c r="AB18" i="7"/>
  <c r="Z18" i="7"/>
  <c r="AA18" i="7"/>
  <c r="AT11" i="7" a="1"/>
  <c r="AI13" i="7"/>
  <c r="AJ13" i="7"/>
  <c r="BE16" i="7"/>
  <c r="Q20" i="13" s="1"/>
  <c r="BG16" i="7"/>
  <c r="S20" i="13" s="1"/>
  <c r="AP13" i="7"/>
  <c r="AQ13" i="7"/>
  <c r="AN14" i="7"/>
  <c r="AM14" i="7"/>
  <c r="AJ14" i="7"/>
  <c r="AI14" i="7"/>
  <c r="AH14" i="7"/>
  <c r="AH18" i="7"/>
  <c r="AJ18" i="7"/>
  <c r="AI18" i="7"/>
  <c r="AE14" i="7"/>
  <c r="AF14" i="7"/>
  <c r="AD14" i="7"/>
  <c r="AF13" i="7"/>
  <c r="AE13" i="7"/>
  <c r="AD13" i="7"/>
  <c r="AR11" i="7"/>
  <c r="AQ11" i="7"/>
  <c r="AP11" i="7"/>
  <c r="AP14" i="7"/>
  <c r="AR14" i="7"/>
  <c r="AQ14" i="7"/>
  <c r="AN11" i="7"/>
  <c r="AL11" i="7"/>
  <c r="AM11" i="7"/>
  <c r="AJ11" i="7"/>
  <c r="AH11" i="7"/>
  <c r="AI11" i="7"/>
  <c r="AD18" i="7"/>
  <c r="AE18" i="7"/>
  <c r="AF18" i="7"/>
  <c r="AM13" i="7"/>
  <c r="AL13" i="7"/>
  <c r="AN13" i="7"/>
  <c r="BR20" i="3"/>
  <c r="AJ20" i="3" s="1"/>
  <c r="BQ20" i="3"/>
  <c r="AI20" i="3" s="1"/>
  <c r="BP20" i="3"/>
  <c r="AH20" i="3" s="1"/>
  <c r="BN20" i="3"/>
  <c r="AF20" i="3" s="1"/>
  <c r="BM20" i="3"/>
  <c r="AE20" i="3" s="1"/>
  <c r="BL20" i="3"/>
  <c r="AD20" i="3" s="1"/>
  <c r="BJ20" i="3"/>
  <c r="BI20" i="3"/>
  <c r="BH20" i="3"/>
  <c r="BF20" i="3"/>
  <c r="BE20" i="3"/>
  <c r="BD20" i="3"/>
  <c r="BR19" i="3"/>
  <c r="AJ19" i="3" s="1"/>
  <c r="BQ19" i="3"/>
  <c r="AI19" i="3" s="1"/>
  <c r="BP19" i="3"/>
  <c r="AH19" i="3" s="1"/>
  <c r="BN19" i="3"/>
  <c r="AF19" i="3" s="1"/>
  <c r="BM19" i="3"/>
  <c r="AE19" i="3" s="1"/>
  <c r="BL19" i="3"/>
  <c r="AD19" i="3" s="1"/>
  <c r="BJ19" i="3"/>
  <c r="BI19" i="3"/>
  <c r="BH19" i="3"/>
  <c r="BF19" i="3"/>
  <c r="BE19" i="3"/>
  <c r="BD19" i="3"/>
  <c r="BR17" i="3"/>
  <c r="AJ17" i="3" s="1"/>
  <c r="BQ17" i="3"/>
  <c r="AI17" i="3" s="1"/>
  <c r="BP17" i="3"/>
  <c r="AH17" i="3" s="1"/>
  <c r="BN17" i="3"/>
  <c r="AF17" i="3" s="1"/>
  <c r="BM17" i="3"/>
  <c r="AE17" i="3" s="1"/>
  <c r="BL17" i="3"/>
  <c r="AD17" i="3" s="1"/>
  <c r="BJ17" i="3"/>
  <c r="AB17" i="3" s="1"/>
  <c r="BI17" i="3"/>
  <c r="AA17" i="3" s="1"/>
  <c r="BH17" i="3"/>
  <c r="Z17" i="3" s="1"/>
  <c r="BF17" i="3"/>
  <c r="BE17" i="3"/>
  <c r="BD17" i="3"/>
  <c r="BR15" i="3"/>
  <c r="AJ15" i="3" s="1"/>
  <c r="BQ15" i="3"/>
  <c r="AI15" i="3" s="1"/>
  <c r="BP15" i="3"/>
  <c r="AH15" i="3" s="1"/>
  <c r="BN15" i="3"/>
  <c r="AF15" i="3" s="1"/>
  <c r="BM15" i="3"/>
  <c r="AE15" i="3" s="1"/>
  <c r="BL15" i="3"/>
  <c r="AD15" i="3" s="1"/>
  <c r="BJ15" i="3"/>
  <c r="BI15" i="3"/>
  <c r="BH15" i="3"/>
  <c r="BF15" i="3"/>
  <c r="BE15" i="3"/>
  <c r="BD15" i="3"/>
  <c r="BR13" i="3"/>
  <c r="BQ13" i="3"/>
  <c r="BP13" i="3"/>
  <c r="BN13" i="3"/>
  <c r="BM13" i="3"/>
  <c r="BL13" i="3"/>
  <c r="BJ13" i="3"/>
  <c r="BI13" i="3"/>
  <c r="BH13" i="3"/>
  <c r="BF13" i="3"/>
  <c r="BE13" i="3"/>
  <c r="BD13" i="3"/>
  <c r="BR12" i="3"/>
  <c r="BQ12" i="3"/>
  <c r="BP12" i="3"/>
  <c r="BN12" i="3"/>
  <c r="BM12" i="3"/>
  <c r="BL12" i="3"/>
  <c r="BJ12" i="3"/>
  <c r="BI12" i="3"/>
  <c r="BH12" i="3"/>
  <c r="BF12" i="3"/>
  <c r="BE12" i="3"/>
  <c r="BD12" i="3"/>
  <c r="BR10" i="3"/>
  <c r="BQ10" i="3"/>
  <c r="BP10" i="3"/>
  <c r="BN10" i="3"/>
  <c r="BM10" i="3"/>
  <c r="BL10" i="3"/>
  <c r="AD10" i="3" s="1" a="1"/>
  <c r="BJ10" i="3"/>
  <c r="BI10" i="3"/>
  <c r="BH10" i="3"/>
  <c r="BF10" i="3"/>
  <c r="BE10" i="3"/>
  <c r="BD10" i="3"/>
  <c r="K86" i="12"/>
  <c r="I86" i="12"/>
  <c r="G86" i="12"/>
  <c r="F86" i="12"/>
  <c r="E86" i="12"/>
  <c r="C86" i="12"/>
  <c r="A86" i="12"/>
  <c r="K84" i="12"/>
  <c r="I84" i="12"/>
  <c r="G85" i="12"/>
  <c r="F85" i="12"/>
  <c r="G84" i="12"/>
  <c r="F84" i="12"/>
  <c r="E85" i="12"/>
  <c r="E84" i="12"/>
  <c r="C84" i="12"/>
  <c r="A84" i="12"/>
  <c r="K80" i="12"/>
  <c r="I80" i="12"/>
  <c r="G80" i="12"/>
  <c r="F80" i="12"/>
  <c r="E80" i="12"/>
  <c r="C80" i="12"/>
  <c r="A80" i="12"/>
  <c r="K78" i="12"/>
  <c r="I78" i="12"/>
  <c r="G78" i="12"/>
  <c r="F78" i="12"/>
  <c r="E78" i="12"/>
  <c r="C78" i="12"/>
  <c r="A78" i="12"/>
  <c r="K74" i="12"/>
  <c r="I74" i="12"/>
  <c r="G74" i="12"/>
  <c r="F74" i="12"/>
  <c r="E74" i="12"/>
  <c r="C74" i="12"/>
  <c r="A74" i="12"/>
  <c r="K72" i="12"/>
  <c r="I72" i="12"/>
  <c r="G72" i="12"/>
  <c r="F72" i="12"/>
  <c r="E72" i="12"/>
  <c r="C72" i="12"/>
  <c r="A72" i="12"/>
  <c r="K70" i="12"/>
  <c r="I70" i="12"/>
  <c r="G70" i="12"/>
  <c r="F70" i="12"/>
  <c r="E70" i="12"/>
  <c r="C70" i="12"/>
  <c r="A70" i="12"/>
  <c r="K68" i="12"/>
  <c r="I68" i="12"/>
  <c r="G68" i="12"/>
  <c r="F68" i="12"/>
  <c r="E68" i="12"/>
  <c r="C68" i="12"/>
  <c r="A68" i="12"/>
  <c r="K64" i="12"/>
  <c r="I64" i="12"/>
  <c r="G64" i="12"/>
  <c r="F64" i="12"/>
  <c r="E64" i="12"/>
  <c r="C64" i="12"/>
  <c r="A64" i="12"/>
  <c r="K62" i="12"/>
  <c r="I62" i="12"/>
  <c r="G62" i="12"/>
  <c r="F62" i="12"/>
  <c r="E62" i="12"/>
  <c r="C62" i="12"/>
  <c r="A62" i="12"/>
  <c r="K58" i="12"/>
  <c r="I58" i="12"/>
  <c r="G58" i="12"/>
  <c r="F58" i="12"/>
  <c r="E58" i="12"/>
  <c r="C58" i="12"/>
  <c r="A58" i="12"/>
  <c r="K56" i="12"/>
  <c r="I56" i="12"/>
  <c r="G56" i="12"/>
  <c r="F56" i="12"/>
  <c r="E56" i="12"/>
  <c r="C56" i="12"/>
  <c r="A56" i="12"/>
  <c r="Q69" i="18" l="1"/>
  <c r="Q71" i="18"/>
  <c r="Q73" i="18"/>
  <c r="Q75" i="18"/>
  <c r="Q79" i="18"/>
  <c r="Q83" i="18"/>
  <c r="Q87" i="18"/>
  <c r="Q81" i="18"/>
  <c r="G70" i="15"/>
  <c r="S70" i="15" s="1"/>
  <c r="F70" i="15"/>
  <c r="R70" i="15" s="1"/>
  <c r="AL13" i="16"/>
  <c r="AP12" i="16" a="1"/>
  <c r="AR12" i="16" s="1"/>
  <c r="AT13" i="16" a="1"/>
  <c r="AU13" i="16" s="1"/>
  <c r="AX13" i="16" a="1"/>
  <c r="AX13" i="16" s="1"/>
  <c r="AL12" i="16" a="1"/>
  <c r="AM12" i="16" s="1"/>
  <c r="AM13" i="16"/>
  <c r="BP55" i="16"/>
  <c r="BI55" i="16"/>
  <c r="BM55" i="16"/>
  <c r="BN64" i="16"/>
  <c r="BJ64" i="16"/>
  <c r="BO55" i="16"/>
  <c r="BK55" i="16"/>
  <c r="AP15" i="16" a="1"/>
  <c r="BM64" i="16"/>
  <c r="BI64" i="16"/>
  <c r="BP64" i="16"/>
  <c r="AU12" i="16"/>
  <c r="AT12" i="16"/>
  <c r="AV12" i="16"/>
  <c r="AQ10" i="16"/>
  <c r="AR10" i="16"/>
  <c r="AP10" i="16"/>
  <c r="AQ13" i="16"/>
  <c r="AP13" i="16"/>
  <c r="AR13" i="16"/>
  <c r="BJ55" i="16"/>
  <c r="BN55" i="16"/>
  <c r="BK58" i="16"/>
  <c r="BO58" i="16"/>
  <c r="AZ12" i="16"/>
  <c r="AY12" i="16"/>
  <c r="AX12" i="16"/>
  <c r="AT56" i="16"/>
  <c r="AX56" i="16"/>
  <c r="BN58" i="16"/>
  <c r="BJ58" i="16"/>
  <c r="BK64" i="16"/>
  <c r="BO64" i="16"/>
  <c r="AY10" i="16"/>
  <c r="AX10" i="16"/>
  <c r="AZ10" i="16"/>
  <c r="AW56" i="16"/>
  <c r="AS56" i="16"/>
  <c r="AV56" i="16"/>
  <c r="AR56" i="16"/>
  <c r="AV10" i="16"/>
  <c r="AU10" i="16"/>
  <c r="AT10" i="16"/>
  <c r="BI58" i="16"/>
  <c r="BP58" i="16"/>
  <c r="BM58" i="16"/>
  <c r="E72" i="15"/>
  <c r="Q72" i="15" s="1"/>
  <c r="V10" i="3" a="1"/>
  <c r="V19" i="3" a="1"/>
  <c r="V20" i="3" a="1"/>
  <c r="V13" i="3" a="1"/>
  <c r="X13" i="3" s="1"/>
  <c r="V12" i="3" a="1"/>
  <c r="X12" i="3" s="1"/>
  <c r="V15" i="3" a="1"/>
  <c r="V15" i="3" s="1"/>
  <c r="AD13" i="3" a="1"/>
  <c r="AD13" i="3" s="1"/>
  <c r="AH13" i="3" a="1"/>
  <c r="AJ13" i="3" s="1"/>
  <c r="AW57" i="14"/>
  <c r="AV58" i="14"/>
  <c r="AW58" i="14"/>
  <c r="AM10" i="14"/>
  <c r="AN10" i="14"/>
  <c r="AW55" i="14"/>
  <c r="AR57" i="14"/>
  <c r="AS57" i="14"/>
  <c r="BJ57" i="14" s="1"/>
  <c r="AV57" i="14"/>
  <c r="BP59" i="14"/>
  <c r="AR58" i="14"/>
  <c r="BN58" i="14"/>
  <c r="AT57" i="14"/>
  <c r="AT58" i="14"/>
  <c r="AX57" i="14"/>
  <c r="BJ58" i="14"/>
  <c r="AS59" i="14"/>
  <c r="BN59" i="14" s="1"/>
  <c r="BM59" i="14"/>
  <c r="AT60" i="14"/>
  <c r="AT59" i="14"/>
  <c r="BK59" i="14" s="1"/>
  <c r="AT16" i="7"/>
  <c r="Q50" i="13" s="1"/>
  <c r="AV16" i="7"/>
  <c r="S50" i="13" s="1"/>
  <c r="AY12" i="14"/>
  <c r="AZ12" i="14"/>
  <c r="AT13" i="14"/>
  <c r="AU13" i="14"/>
  <c r="AP12" i="14"/>
  <c r="AQ12" i="14"/>
  <c r="BE53" i="14"/>
  <c r="AT56" i="14"/>
  <c r="BO56" i="14" s="1"/>
  <c r="BA53" i="14"/>
  <c r="AS53" i="14"/>
  <c r="AW54" i="14"/>
  <c r="BA55" i="14"/>
  <c r="BE54" i="14"/>
  <c r="AW53" i="14"/>
  <c r="BE55" i="14"/>
  <c r="BA54" i="14"/>
  <c r="AS55" i="14"/>
  <c r="AV53" i="14"/>
  <c r="AR53" i="14"/>
  <c r="AZ54" i="14"/>
  <c r="AZ53" i="14"/>
  <c r="BD55" i="14"/>
  <c r="AR55" i="14"/>
  <c r="BD54" i="14"/>
  <c r="AV54" i="14"/>
  <c r="AZ55" i="14"/>
  <c r="AX54" i="14"/>
  <c r="BF55" i="14"/>
  <c r="BB53" i="14"/>
  <c r="AT53" i="14"/>
  <c r="BB55" i="14"/>
  <c r="BF54" i="14"/>
  <c r="AT55" i="14"/>
  <c r="AX53" i="14"/>
  <c r="AX55" i="14"/>
  <c r="BB54" i="14"/>
  <c r="AS56" i="14"/>
  <c r="AW56" i="14"/>
  <c r="AR54" i="14"/>
  <c r="AV56" i="14"/>
  <c r="AR56" i="14"/>
  <c r="BI64" i="14"/>
  <c r="BP64" i="14"/>
  <c r="AT54" i="14"/>
  <c r="AV55" i="14"/>
  <c r="AS60" i="14"/>
  <c r="BN60" i="14" s="1"/>
  <c r="BJ64" i="14"/>
  <c r="BN64" i="14"/>
  <c r="AX60" i="14"/>
  <c r="BD53" i="14"/>
  <c r="AS54" i="14"/>
  <c r="AR60" i="14"/>
  <c r="BK64" i="14"/>
  <c r="BO64" i="14"/>
  <c r="BM64" i="14"/>
  <c r="AM12" i="14"/>
  <c r="AL15" i="14"/>
  <c r="AN12" i="14"/>
  <c r="AX13" i="14"/>
  <c r="AM15" i="14"/>
  <c r="AY13" i="14"/>
  <c r="AV10" i="14"/>
  <c r="AU10" i="14"/>
  <c r="AT10" i="14"/>
  <c r="AM16" i="14"/>
  <c r="AL16" i="14"/>
  <c r="AN16" i="14"/>
  <c r="AR15" i="14"/>
  <c r="AQ15" i="14"/>
  <c r="AP15" i="14"/>
  <c r="AP10" i="14"/>
  <c r="AR10" i="14"/>
  <c r="AQ10" i="14"/>
  <c r="AT12" i="14"/>
  <c r="AV12" i="14"/>
  <c r="AU12" i="14"/>
  <c r="AN13" i="14"/>
  <c r="AM13" i="14"/>
  <c r="AL13" i="14"/>
  <c r="AX10" i="14"/>
  <c r="AZ10" i="14"/>
  <c r="AY10" i="14"/>
  <c r="AR16" i="14"/>
  <c r="AQ16" i="14"/>
  <c r="AP16" i="14"/>
  <c r="AP13" i="14"/>
  <c r="AR13" i="14"/>
  <c r="AQ13" i="14"/>
  <c r="AT18" i="7" a="1"/>
  <c r="AV13" i="7"/>
  <c r="S48" i="13" s="1"/>
  <c r="AU13" i="7"/>
  <c r="R48" i="13" s="1"/>
  <c r="R96" i="13" s="1"/>
  <c r="V96" i="13" s="1"/>
  <c r="AT13" i="7"/>
  <c r="Q48" i="13" s="1"/>
  <c r="AT14" i="7" a="1"/>
  <c r="AV11" i="7"/>
  <c r="S54" i="13" s="1"/>
  <c r="AT11" i="7"/>
  <c r="Q54" i="13" s="1"/>
  <c r="AU11" i="7"/>
  <c r="R54" i="13" s="1"/>
  <c r="R100" i="13" s="1"/>
  <c r="V100" i="13" s="1"/>
  <c r="BA13" i="7" a="1"/>
  <c r="BB13" i="7" s="1"/>
  <c r="R28" i="13" s="1"/>
  <c r="AW11" i="7"/>
  <c r="Q42" i="13" s="1"/>
  <c r="AY11" i="7"/>
  <c r="S42" i="13" s="1"/>
  <c r="BI13" i="7" a="1"/>
  <c r="BE14" i="7" a="1"/>
  <c r="BF14" i="7" s="1"/>
  <c r="R16" i="13" s="1"/>
  <c r="BE11" i="7" a="1"/>
  <c r="BE11" i="7" s="1"/>
  <c r="Q22" i="13" s="1"/>
  <c r="AW13" i="7" a="1"/>
  <c r="AX13" i="7" s="1"/>
  <c r="R38" i="13" s="1"/>
  <c r="R90" i="13" s="1"/>
  <c r="V90" i="13" s="1"/>
  <c r="V17" i="3" a="1"/>
  <c r="X17" i="3" s="1"/>
  <c r="BA11" i="7" a="1"/>
  <c r="BE13" i="7" a="1"/>
  <c r="BI14" i="7" a="1"/>
  <c r="BA14" i="7" a="1"/>
  <c r="AW14" i="7" a="1"/>
  <c r="BA18" i="7" a="1"/>
  <c r="AW18" i="7" a="1"/>
  <c r="BI11" i="7" a="1"/>
  <c r="AH12" i="3" a="1"/>
  <c r="AJ12" i="3" s="1"/>
  <c r="Z12" i="3" a="1"/>
  <c r="Z12" i="3" s="1"/>
  <c r="Z15" i="3" a="1"/>
  <c r="Z19" i="3" a="1"/>
  <c r="V20" i="3"/>
  <c r="X20" i="3"/>
  <c r="W20" i="3"/>
  <c r="X19" i="3"/>
  <c r="W19" i="3"/>
  <c r="V19" i="3"/>
  <c r="AH10" i="3" a="1"/>
  <c r="AD12" i="3" a="1"/>
  <c r="AF10" i="3"/>
  <c r="AE10" i="3"/>
  <c r="AD10" i="3"/>
  <c r="W10" i="3"/>
  <c r="X10" i="3"/>
  <c r="V10" i="3"/>
  <c r="Z10" i="3" a="1"/>
  <c r="Z13" i="3" a="1"/>
  <c r="Z20" i="3" a="1"/>
  <c r="Q20" i="15" l="1"/>
  <c r="Q57" i="15" s="1"/>
  <c r="Q20" i="21"/>
  <c r="Q57" i="21" s="1"/>
  <c r="R20" i="15"/>
  <c r="R57" i="15" s="1"/>
  <c r="Z57" i="15" s="1"/>
  <c r="AD55" i="15" s="1"/>
  <c r="G54" i="15" s="1"/>
  <c r="R20" i="21"/>
  <c r="R57" i="21" s="1"/>
  <c r="S20" i="15"/>
  <c r="S57" i="15" s="1"/>
  <c r="AA57" i="15" s="1"/>
  <c r="AE55" i="15" s="1"/>
  <c r="H54" i="15" s="1"/>
  <c r="S20" i="21"/>
  <c r="S57" i="21" s="1"/>
  <c r="Y57" i="15"/>
  <c r="AC55" i="15" s="1"/>
  <c r="F54" i="15" s="1"/>
  <c r="U57" i="15"/>
  <c r="AQ12" i="16"/>
  <c r="AP12" i="16"/>
  <c r="AL12" i="16"/>
  <c r="AN12" i="16"/>
  <c r="AT13" i="16"/>
  <c r="AV13" i="16"/>
  <c r="AZ13" i="16"/>
  <c r="AY13" i="16"/>
  <c r="BN56" i="16"/>
  <c r="BJ56" i="16"/>
  <c r="BP56" i="16"/>
  <c r="BI56" i="16"/>
  <c r="BM56" i="16"/>
  <c r="AP15" i="16"/>
  <c r="AQ15" i="16"/>
  <c r="AR15" i="16"/>
  <c r="BO56" i="16"/>
  <c r="BK56" i="16"/>
  <c r="AI13" i="3"/>
  <c r="V12" i="3"/>
  <c r="W12" i="3"/>
  <c r="W13" i="3"/>
  <c r="V13" i="3"/>
  <c r="AF13" i="3"/>
  <c r="W15" i="3"/>
  <c r="AE13" i="3"/>
  <c r="AH13" i="3"/>
  <c r="X15" i="3"/>
  <c r="BP58" i="14"/>
  <c r="BI57" i="14"/>
  <c r="BP57" i="14"/>
  <c r="BI58" i="14"/>
  <c r="BM58" i="14"/>
  <c r="BO57" i="14"/>
  <c r="BM57" i="14"/>
  <c r="BN57" i="14"/>
  <c r="BK57" i="14"/>
  <c r="BJ59" i="14"/>
  <c r="BO58" i="14"/>
  <c r="BK58" i="14"/>
  <c r="BJ53" i="14"/>
  <c r="BP53" i="14"/>
  <c r="BK60" i="14"/>
  <c r="BJ60" i="14"/>
  <c r="BO59" i="14"/>
  <c r="BK56" i="14"/>
  <c r="Q96" i="13"/>
  <c r="U96" i="13" s="1"/>
  <c r="BO53" i="14"/>
  <c r="BN53" i="14"/>
  <c r="BO60" i="14"/>
  <c r="BN54" i="14"/>
  <c r="BJ54" i="14"/>
  <c r="BK54" i="14"/>
  <c r="BO54" i="14"/>
  <c r="BN56" i="14"/>
  <c r="BJ56" i="14"/>
  <c r="BI60" i="14"/>
  <c r="BM60" i="14"/>
  <c r="BK53" i="14"/>
  <c r="BI53" i="14"/>
  <c r="BM56" i="14"/>
  <c r="BP56" i="14"/>
  <c r="BI56" i="14"/>
  <c r="BO55" i="14"/>
  <c r="BK55" i="14"/>
  <c r="BN55" i="14"/>
  <c r="BJ55" i="14"/>
  <c r="BM53" i="14"/>
  <c r="BI54" i="14"/>
  <c r="BP54" i="14"/>
  <c r="BM54" i="14"/>
  <c r="BP55" i="14"/>
  <c r="BM55" i="14"/>
  <c r="BI55" i="14"/>
  <c r="BP60" i="14"/>
  <c r="Q100" i="13"/>
  <c r="U100" i="13" s="1"/>
  <c r="S100" i="13"/>
  <c r="W100" i="13" s="1"/>
  <c r="S96" i="13"/>
  <c r="W96" i="13" s="1"/>
  <c r="AT10" i="3" a="1"/>
  <c r="AV10" i="3" s="1"/>
  <c r="AV18" i="7"/>
  <c r="S52" i="13" s="1"/>
  <c r="S98" i="13" s="1"/>
  <c r="W98" i="13" s="1"/>
  <c r="AU18" i="7"/>
  <c r="R52" i="13" s="1"/>
  <c r="R98" i="13" s="1"/>
  <c r="V98" i="13" s="1"/>
  <c r="AT18" i="7"/>
  <c r="Q52" i="13" s="1"/>
  <c r="Q98" i="13" s="1"/>
  <c r="U98" i="13" s="1"/>
  <c r="AT14" i="7"/>
  <c r="Q46" i="13" s="1"/>
  <c r="Q94" i="13" s="1"/>
  <c r="U94" i="13" s="1"/>
  <c r="AV14" i="7"/>
  <c r="S46" i="13" s="1"/>
  <c r="S94" i="13" s="1"/>
  <c r="W94" i="13" s="1"/>
  <c r="AU14" i="7"/>
  <c r="R46" i="13" s="1"/>
  <c r="R94" i="13" s="1"/>
  <c r="V94" i="13" s="1"/>
  <c r="BA13" i="7"/>
  <c r="Q28" i="13" s="1"/>
  <c r="BC13" i="7"/>
  <c r="S28" i="13" s="1"/>
  <c r="BK13" i="7"/>
  <c r="S10" i="13" s="1"/>
  <c r="BJ13" i="7"/>
  <c r="R10" i="13" s="1"/>
  <c r="BI13" i="7"/>
  <c r="Q10" i="13" s="1"/>
  <c r="BE14" i="7"/>
  <c r="Q16" i="13" s="1"/>
  <c r="BG14" i="7"/>
  <c r="S16" i="13" s="1"/>
  <c r="BF11" i="7"/>
  <c r="R22" i="13" s="1"/>
  <c r="BG11" i="7"/>
  <c r="S22" i="13" s="1"/>
  <c r="AY13" i="7"/>
  <c r="S38" i="13" s="1"/>
  <c r="S90" i="13" s="1"/>
  <c r="W90" i="13" s="1"/>
  <c r="AW13" i="7"/>
  <c r="Q38" i="13" s="1"/>
  <c r="Q90" i="13" s="1"/>
  <c r="U90" i="13" s="1"/>
  <c r="V17" i="3"/>
  <c r="W17" i="3"/>
  <c r="BA14" i="7"/>
  <c r="Q26" i="13" s="1"/>
  <c r="BB14" i="7"/>
  <c r="R26" i="13" s="1"/>
  <c r="BC14" i="7"/>
  <c r="S26" i="13" s="1"/>
  <c r="BG13" i="7"/>
  <c r="S18" i="13" s="1"/>
  <c r="BE13" i="7"/>
  <c r="Q18" i="13" s="1"/>
  <c r="Q74" i="13" s="1"/>
  <c r="BF13" i="7"/>
  <c r="R18" i="13" s="1"/>
  <c r="R70" i="13" s="1"/>
  <c r="BB11" i="7"/>
  <c r="R32" i="13" s="1"/>
  <c r="BC11" i="7"/>
  <c r="S32" i="13" s="1"/>
  <c r="BA11" i="7"/>
  <c r="Q32" i="13" s="1"/>
  <c r="BI14" i="7"/>
  <c r="Q8" i="13" s="1"/>
  <c r="BK14" i="7"/>
  <c r="S8" i="13" s="1"/>
  <c r="BJ14" i="7"/>
  <c r="R8" i="13" s="1"/>
  <c r="R64" i="13" s="1"/>
  <c r="AX14" i="7"/>
  <c r="R36" i="13" s="1"/>
  <c r="AY14" i="7"/>
  <c r="S36" i="13" s="1"/>
  <c r="AW14" i="7"/>
  <c r="Q36" i="13" s="1"/>
  <c r="AY18" i="7"/>
  <c r="S40" i="13" s="1"/>
  <c r="AW18" i="7"/>
  <c r="Q40" i="13" s="1"/>
  <c r="AX18" i="7"/>
  <c r="R40" i="13" s="1"/>
  <c r="BC18" i="7"/>
  <c r="BA18" i="7"/>
  <c r="BB18" i="7"/>
  <c r="BJ11" i="7"/>
  <c r="R12" i="13" s="1"/>
  <c r="BI11" i="7"/>
  <c r="Q12" i="13" s="1"/>
  <c r="BK11" i="7"/>
  <c r="S12" i="13" s="1"/>
  <c r="AL13" i="3" a="1"/>
  <c r="AL13" i="3" s="1"/>
  <c r="Q36" i="12" s="1"/>
  <c r="AB12" i="3"/>
  <c r="AL19" i="3" a="1"/>
  <c r="AL19" i="3" s="1"/>
  <c r="Q44" i="12" s="1"/>
  <c r="AT13" i="3" a="1"/>
  <c r="AI12" i="3"/>
  <c r="AL12" i="3" a="1"/>
  <c r="AH12" i="3"/>
  <c r="AL20" i="3" a="1"/>
  <c r="AL10" i="3" a="1"/>
  <c r="AX13" i="3" a="1"/>
  <c r="AA12" i="3"/>
  <c r="AJ10" i="3"/>
  <c r="AH10" i="3"/>
  <c r="AI10" i="3"/>
  <c r="AA20" i="3"/>
  <c r="Z20" i="3"/>
  <c r="AB20" i="3"/>
  <c r="AB15" i="3"/>
  <c r="AA15" i="3"/>
  <c r="Z15" i="3"/>
  <c r="AB13" i="3"/>
  <c r="Z13" i="3"/>
  <c r="AA13" i="3"/>
  <c r="AF12" i="3"/>
  <c r="AE12" i="3"/>
  <c r="AD12" i="3"/>
  <c r="AA19" i="3"/>
  <c r="AB19" i="3"/>
  <c r="Z19" i="3"/>
  <c r="AB10" i="3"/>
  <c r="Z10" i="3"/>
  <c r="AA10" i="3"/>
  <c r="T57" i="3"/>
  <c r="S57" i="3"/>
  <c r="R57" i="3"/>
  <c r="P57" i="3"/>
  <c r="O57" i="3"/>
  <c r="N57" i="3"/>
  <c r="L57" i="3"/>
  <c r="K57" i="3"/>
  <c r="J57" i="3"/>
  <c r="H57" i="3"/>
  <c r="G57" i="3"/>
  <c r="F57" i="3"/>
  <c r="X56" i="7"/>
  <c r="W56" i="7"/>
  <c r="V56" i="7"/>
  <c r="T56" i="7"/>
  <c r="S56" i="7"/>
  <c r="R56" i="7"/>
  <c r="P56" i="7"/>
  <c r="O56" i="7"/>
  <c r="N56" i="7"/>
  <c r="L56" i="7"/>
  <c r="K56" i="7"/>
  <c r="J56" i="7"/>
  <c r="H56" i="7"/>
  <c r="G56" i="7"/>
  <c r="F56" i="7"/>
  <c r="AA57" i="21" l="1"/>
  <c r="AE55" i="21" s="1"/>
  <c r="W57" i="21"/>
  <c r="W57" i="15"/>
  <c r="V57" i="21"/>
  <c r="Z57" i="21"/>
  <c r="AD55" i="21" s="1"/>
  <c r="V57" i="15"/>
  <c r="U57" i="21"/>
  <c r="Y57" i="21"/>
  <c r="AC55" i="21" s="1"/>
  <c r="G56" i="15"/>
  <c r="S56" i="15" s="1"/>
  <c r="G58" i="15"/>
  <c r="S58" i="15" s="1"/>
  <c r="F56" i="15"/>
  <c r="R56" i="15" s="1"/>
  <c r="F58" i="15"/>
  <c r="R58" i="15" s="1"/>
  <c r="E58" i="15"/>
  <c r="Q58" i="15" s="1"/>
  <c r="E56" i="15"/>
  <c r="Q56" i="15" s="1"/>
  <c r="R30" i="13"/>
  <c r="R80" i="13" s="1"/>
  <c r="R63" i="15"/>
  <c r="V63" i="15" s="1"/>
  <c r="Q30" i="13"/>
  <c r="Q80" i="13" s="1"/>
  <c r="Q63" i="15"/>
  <c r="U63" i="15" s="1"/>
  <c r="S30" i="13"/>
  <c r="S80" i="13" s="1"/>
  <c r="W80" i="13" s="1"/>
  <c r="S63" i="15"/>
  <c r="W63" i="15" s="1"/>
  <c r="S64" i="13"/>
  <c r="Q88" i="13"/>
  <c r="S66" i="13"/>
  <c r="Q64" i="13"/>
  <c r="U64" i="13" s="1"/>
  <c r="Q66" i="13"/>
  <c r="AL15" i="3" a="1"/>
  <c r="AU10" i="3"/>
  <c r="AT10" i="3"/>
  <c r="V70" i="13"/>
  <c r="R74" i="13"/>
  <c r="V74" i="13" s="1"/>
  <c r="R88" i="13"/>
  <c r="V88" i="13" s="1"/>
  <c r="R78" i="13"/>
  <c r="V78" i="13" s="1"/>
  <c r="W64" i="13"/>
  <c r="S70" i="13"/>
  <c r="W70" i="13" s="1"/>
  <c r="U80" i="13"/>
  <c r="Q82" i="13"/>
  <c r="Q78" i="13"/>
  <c r="U78" i="13" s="1"/>
  <c r="Q70" i="13"/>
  <c r="U70" i="13" s="1"/>
  <c r="S88" i="13"/>
  <c r="W88" i="13" s="1"/>
  <c r="S86" i="13"/>
  <c r="S78" i="13"/>
  <c r="W78" i="13" s="1"/>
  <c r="S82" i="13"/>
  <c r="W82" i="13" s="1"/>
  <c r="U82" i="13"/>
  <c r="Q86" i="13"/>
  <c r="U86" i="13" s="1"/>
  <c r="V80" i="13"/>
  <c r="R82" i="13"/>
  <c r="V82" i="13" s="1"/>
  <c r="R66" i="13"/>
  <c r="V66" i="13" s="1"/>
  <c r="R72" i="13"/>
  <c r="V72" i="13" s="1"/>
  <c r="R86" i="13"/>
  <c r="V86" i="13" s="1"/>
  <c r="U66" i="13"/>
  <c r="Q72" i="13"/>
  <c r="U72" i="13" s="1"/>
  <c r="W66" i="13"/>
  <c r="S72" i="13"/>
  <c r="W72" i="13" s="1"/>
  <c r="S74" i="13"/>
  <c r="W74" i="13" s="1"/>
  <c r="V64" i="13"/>
  <c r="U88" i="13"/>
  <c r="W86" i="13"/>
  <c r="U74" i="13"/>
  <c r="AL17" i="3" a="1"/>
  <c r="AM17" i="3" s="1"/>
  <c r="R42" i="12" s="1"/>
  <c r="AT12" i="3" a="1"/>
  <c r="AT12" i="3" s="1"/>
  <c r="AP12" i="3" a="1"/>
  <c r="AP12" i="3" s="1"/>
  <c r="AM19" i="3"/>
  <c r="R44" i="12" s="1"/>
  <c r="AN13" i="3"/>
  <c r="S36" i="12" s="1"/>
  <c r="AN19" i="3"/>
  <c r="S44" i="12" s="1"/>
  <c r="AM13" i="3"/>
  <c r="R36" i="12" s="1"/>
  <c r="AX12" i="3" a="1"/>
  <c r="AX12" i="3" s="1"/>
  <c r="AP19" i="3" a="1"/>
  <c r="AP19" i="3" s="1"/>
  <c r="AX10" i="3" a="1"/>
  <c r="AY10" i="3" s="1"/>
  <c r="AN20" i="3"/>
  <c r="AL20" i="3"/>
  <c r="AM20" i="3"/>
  <c r="AP15" i="3" a="1"/>
  <c r="AN12" i="3"/>
  <c r="S38" i="12" s="1"/>
  <c r="AL12" i="3"/>
  <c r="AM12" i="3"/>
  <c r="R38" i="12" s="1"/>
  <c r="AZ13" i="3"/>
  <c r="AY13" i="3"/>
  <c r="AX13" i="3"/>
  <c r="AN15" i="3"/>
  <c r="S40" i="12" s="1"/>
  <c r="AL15" i="3"/>
  <c r="Q40" i="12" s="1"/>
  <c r="AM15" i="3"/>
  <c r="R40" i="12" s="1"/>
  <c r="AU13" i="3"/>
  <c r="AT13" i="3"/>
  <c r="AV13" i="3"/>
  <c r="AP20" i="3" a="1"/>
  <c r="AN10" i="3"/>
  <c r="S46" i="12" s="1"/>
  <c r="AL10" i="3"/>
  <c r="Q46" i="12" s="1"/>
  <c r="AM10" i="3"/>
  <c r="R46" i="12" s="1"/>
  <c r="AP10" i="3" a="1"/>
  <c r="AP13" i="3" a="1"/>
  <c r="R55" i="7"/>
  <c r="T55" i="7"/>
  <c r="S55" i="7"/>
  <c r="H55" i="7"/>
  <c r="G55" i="7"/>
  <c r="F55" i="7"/>
  <c r="AA53" i="7"/>
  <c r="AC53" i="7"/>
  <c r="AB53" i="7"/>
  <c r="Q56" i="21" l="1"/>
  <c r="Q58" i="21"/>
  <c r="R56" i="21"/>
  <c r="R58" i="21"/>
  <c r="S58" i="21"/>
  <c r="S56" i="21"/>
  <c r="AL17" i="3"/>
  <c r="Q42" i="12" s="1"/>
  <c r="AN17" i="3"/>
  <c r="S42" i="12" s="1"/>
  <c r="S82" i="12" s="1"/>
  <c r="W82" i="12" s="1"/>
  <c r="R82" i="12"/>
  <c r="V82" i="12" s="1"/>
  <c r="AV12" i="3"/>
  <c r="AU12" i="3"/>
  <c r="Q38" i="12"/>
  <c r="Q84" i="12" s="1"/>
  <c r="U84" i="12" s="1"/>
  <c r="AX10" i="3"/>
  <c r="AQ12" i="3"/>
  <c r="AR12" i="3"/>
  <c r="AR19" i="3"/>
  <c r="AQ19" i="3"/>
  <c r="S84" i="12"/>
  <c r="W84" i="12" s="1"/>
  <c r="S80" i="12"/>
  <c r="W80" i="12" s="1"/>
  <c r="S78" i="12"/>
  <c r="W78" i="12" s="1"/>
  <c r="R84" i="12"/>
  <c r="V84" i="12" s="1"/>
  <c r="AZ10" i="3"/>
  <c r="R78" i="12"/>
  <c r="V78" i="12" s="1"/>
  <c r="AZ12" i="3"/>
  <c r="R86" i="12"/>
  <c r="V86" i="12" s="1"/>
  <c r="AY12" i="3"/>
  <c r="AP15" i="3"/>
  <c r="AR15" i="3"/>
  <c r="AQ15" i="3"/>
  <c r="AP10" i="3"/>
  <c r="AQ10" i="3"/>
  <c r="AR10" i="3"/>
  <c r="AQ20" i="3"/>
  <c r="AR20" i="3"/>
  <c r="AP20" i="3"/>
  <c r="R80" i="12"/>
  <c r="V80" i="12" s="1"/>
  <c r="S86" i="12"/>
  <c r="W86" i="12" s="1"/>
  <c r="Q80" i="12"/>
  <c r="U80" i="12" s="1"/>
  <c r="AQ13" i="3"/>
  <c r="AR13" i="3"/>
  <c r="AP13" i="3"/>
  <c r="H54" i="7"/>
  <c r="G54" i="7"/>
  <c r="F54" i="7"/>
  <c r="P53" i="7"/>
  <c r="O53" i="7"/>
  <c r="N53" i="7"/>
  <c r="L53" i="7"/>
  <c r="K53" i="7"/>
  <c r="J53" i="7"/>
  <c r="H53" i="7"/>
  <c r="G53" i="7"/>
  <c r="F53" i="7"/>
  <c r="H52" i="7"/>
  <c r="G52" i="7"/>
  <c r="F52" i="7"/>
  <c r="H51" i="7"/>
  <c r="G51" i="7"/>
  <c r="F51" i="7"/>
  <c r="H49" i="7"/>
  <c r="G49" i="7"/>
  <c r="F49" i="7"/>
  <c r="X47" i="7"/>
  <c r="W47" i="7"/>
  <c r="V47" i="7"/>
  <c r="T47" i="7"/>
  <c r="S47" i="7"/>
  <c r="R47" i="7"/>
  <c r="P47" i="7"/>
  <c r="O47" i="7"/>
  <c r="N47" i="7"/>
  <c r="L47" i="7"/>
  <c r="K47" i="7"/>
  <c r="J47" i="7"/>
  <c r="H47" i="7"/>
  <c r="G47" i="7"/>
  <c r="F47" i="7"/>
  <c r="L52" i="3"/>
  <c r="K52" i="3"/>
  <c r="J52" i="3"/>
  <c r="H52" i="3"/>
  <c r="G52" i="3"/>
  <c r="F52" i="3"/>
  <c r="T49" i="3"/>
  <c r="S49" i="3"/>
  <c r="R49" i="3"/>
  <c r="P49" i="3"/>
  <c r="O49" i="3"/>
  <c r="N49" i="3"/>
  <c r="L49" i="3"/>
  <c r="K49" i="3"/>
  <c r="J49" i="3"/>
  <c r="H49" i="3"/>
  <c r="G49" i="3"/>
  <c r="F49" i="3"/>
  <c r="Q82" i="12" l="1"/>
  <c r="U82" i="12" s="1"/>
  <c r="Q78" i="12"/>
  <c r="U78" i="12" s="1"/>
  <c r="Q86" i="12"/>
  <c r="U86" i="12" s="1"/>
  <c r="T56" i="3"/>
  <c r="S56" i="3"/>
  <c r="R56" i="3"/>
  <c r="P56" i="3"/>
  <c r="O56" i="3"/>
  <c r="N56" i="3"/>
  <c r="L56" i="3"/>
  <c r="K56" i="3"/>
  <c r="J56" i="3"/>
  <c r="H56" i="3"/>
  <c r="G56" i="3"/>
  <c r="F56" i="3"/>
  <c r="AR51" i="3"/>
  <c r="AQ51" i="3"/>
  <c r="AP51" i="3"/>
  <c r="AO51" i="3"/>
  <c r="AN51" i="3"/>
  <c r="AM51" i="3"/>
  <c r="L51" i="3"/>
  <c r="K51" i="3"/>
  <c r="J51" i="3"/>
  <c r="H51" i="3"/>
  <c r="G51" i="3"/>
  <c r="F51" i="3"/>
  <c r="T48" i="3"/>
  <c r="S48" i="3"/>
  <c r="R48" i="3"/>
  <c r="P48" i="3"/>
  <c r="O48" i="3"/>
  <c r="N48" i="3"/>
  <c r="L48" i="3"/>
  <c r="K48" i="3"/>
  <c r="J48" i="3"/>
  <c r="H48" i="3"/>
  <c r="G48" i="3"/>
  <c r="F48" i="3"/>
  <c r="AC35" i="7" l="1"/>
  <c r="AB35" i="7"/>
  <c r="AA35" i="7"/>
  <c r="T48" i="7"/>
  <c r="S48" i="7"/>
  <c r="R48" i="7"/>
  <c r="AC52" i="7"/>
  <c r="AB52" i="7"/>
  <c r="AA52" i="7"/>
  <c r="AC48" i="7"/>
  <c r="AB48" i="7"/>
  <c r="AA48" i="7"/>
  <c r="P52" i="7"/>
  <c r="O52" i="7"/>
  <c r="N52" i="7"/>
  <c r="L52" i="7"/>
  <c r="K52" i="7"/>
  <c r="J52" i="7"/>
  <c r="X46" i="7"/>
  <c r="W46" i="7"/>
  <c r="V46" i="7"/>
  <c r="T46" i="7"/>
  <c r="S46" i="7"/>
  <c r="R46" i="7"/>
  <c r="P46" i="7"/>
  <c r="O46" i="7"/>
  <c r="N46" i="7"/>
  <c r="L46" i="7"/>
  <c r="K46" i="7"/>
  <c r="J46" i="7"/>
  <c r="H46" i="7"/>
  <c r="G46" i="7"/>
  <c r="F46" i="7"/>
  <c r="F45" i="7"/>
  <c r="H48" i="7" l="1"/>
  <c r="G48" i="7"/>
  <c r="F48" i="7"/>
  <c r="H45" i="7"/>
  <c r="G45" i="7"/>
  <c r="AC51" i="7"/>
  <c r="AB51" i="7"/>
  <c r="AA51" i="7"/>
  <c r="AC49" i="7"/>
  <c r="AB49" i="7"/>
  <c r="AA49" i="7"/>
  <c r="AC45" i="7"/>
  <c r="AB45" i="7"/>
  <c r="AA45" i="7"/>
  <c r="AR55" i="3"/>
  <c r="AQ55" i="3"/>
  <c r="AP55" i="3"/>
  <c r="AR53" i="3"/>
  <c r="AQ53" i="3"/>
  <c r="AP53" i="3"/>
  <c r="AR50" i="3"/>
  <c r="AQ50" i="3"/>
  <c r="AP50" i="3"/>
  <c r="AR47" i="3"/>
  <c r="AQ47" i="3"/>
  <c r="AP47" i="3"/>
  <c r="AO55" i="3"/>
  <c r="AN55" i="3"/>
  <c r="AM55" i="3"/>
  <c r="AO53" i="3"/>
  <c r="AO54" i="3" s="1"/>
  <c r="AN53" i="3"/>
  <c r="AN54" i="3" s="1"/>
  <c r="AM53" i="3"/>
  <c r="AM54" i="3" s="1"/>
  <c r="AO50" i="3"/>
  <c r="AN50" i="3"/>
  <c r="AM50" i="3"/>
  <c r="AO47" i="3"/>
  <c r="AN47" i="3"/>
  <c r="AM47" i="3"/>
  <c r="AE13" i="6" l="1"/>
  <c r="AD13" i="6"/>
  <c r="AC13" i="6"/>
  <c r="AA13" i="6"/>
  <c r="Z13" i="6"/>
  <c r="Y13" i="6"/>
  <c r="W13" i="6"/>
  <c r="V13" i="6"/>
  <c r="U13" i="6"/>
  <c r="W20" i="9"/>
  <c r="V20" i="9"/>
  <c r="U20" i="9"/>
  <c r="U84" i="7"/>
  <c r="K82" i="7"/>
  <c r="AH22" i="9"/>
  <c r="S22" i="9"/>
  <c r="L82" i="7" s="1"/>
  <c r="R22" i="9"/>
  <c r="J82" i="7" s="1"/>
  <c r="Q22" i="9"/>
  <c r="O22" i="9"/>
  <c r="P82" i="7" s="1"/>
  <c r="N22" i="9"/>
  <c r="N82" i="7" s="1"/>
  <c r="M22" i="9"/>
  <c r="O82" i="7" s="1"/>
  <c r="O81" i="7"/>
  <c r="J81" i="7"/>
  <c r="V80" i="7"/>
  <c r="S21" i="9"/>
  <c r="L81" i="7" s="1"/>
  <c r="R21" i="9"/>
  <c r="Q21" i="9"/>
  <c r="K81" i="7" s="1"/>
  <c r="O21" i="9"/>
  <c r="AI21" i="9" s="1"/>
  <c r="N21" i="9"/>
  <c r="N81" i="7" s="1"/>
  <c r="M21" i="9"/>
  <c r="S20" i="9"/>
  <c r="R20" i="9"/>
  <c r="Q20" i="9"/>
  <c r="AO20" i="9" s="1"/>
  <c r="O20" i="9"/>
  <c r="H80" i="7" s="1"/>
  <c r="N20" i="9"/>
  <c r="F80" i="7" s="1"/>
  <c r="M20" i="9"/>
  <c r="AG20" i="9" s="1"/>
  <c r="K20" i="9"/>
  <c r="T80" i="7" s="1"/>
  <c r="J20" i="9"/>
  <c r="I20" i="9"/>
  <c r="S80" i="7" s="1"/>
  <c r="G20" i="9"/>
  <c r="X80" i="7" s="1"/>
  <c r="F20" i="9"/>
  <c r="E20" i="9"/>
  <c r="W80" i="7" s="1"/>
  <c r="AG21" i="9"/>
  <c r="X45" i="7"/>
  <c r="W45" i="7"/>
  <c r="V45" i="7"/>
  <c r="T45" i="7"/>
  <c r="S45" i="7"/>
  <c r="R45" i="7"/>
  <c r="P45" i="7"/>
  <c r="O45" i="7"/>
  <c r="N45" i="7"/>
  <c r="L45" i="7"/>
  <c r="K45" i="7"/>
  <c r="J45" i="7"/>
  <c r="L38" i="7"/>
  <c r="K38" i="7"/>
  <c r="J38" i="7"/>
  <c r="L37" i="7"/>
  <c r="K37" i="7"/>
  <c r="J37" i="7"/>
  <c r="K36" i="7"/>
  <c r="J36" i="7"/>
  <c r="L55" i="3"/>
  <c r="K55" i="3"/>
  <c r="J55" i="3"/>
  <c r="H55" i="3"/>
  <c r="G55" i="3"/>
  <c r="F55" i="3"/>
  <c r="Q82" i="3"/>
  <c r="H80" i="3"/>
  <c r="F80" i="3"/>
  <c r="G79" i="3"/>
  <c r="L77" i="3"/>
  <c r="H77" i="3"/>
  <c r="S32" i="6"/>
  <c r="R32" i="6"/>
  <c r="Q32" i="6"/>
  <c r="G80" i="3" s="1"/>
  <c r="O32" i="6"/>
  <c r="N32" i="6"/>
  <c r="AD32" i="6" s="1"/>
  <c r="M32" i="6"/>
  <c r="K80" i="3" s="1"/>
  <c r="M31" i="6"/>
  <c r="K79" i="3" s="1"/>
  <c r="S31" i="6"/>
  <c r="H79" i="3" s="1"/>
  <c r="R31" i="6"/>
  <c r="F79" i="3" s="1"/>
  <c r="Q31" i="6"/>
  <c r="O31" i="6"/>
  <c r="L79" i="3" s="1"/>
  <c r="N31" i="6"/>
  <c r="J79" i="3" s="1"/>
  <c r="S30" i="6"/>
  <c r="H78" i="3" s="1"/>
  <c r="R30" i="6"/>
  <c r="F78" i="3" s="1"/>
  <c r="Q30" i="6"/>
  <c r="G78" i="3" s="1"/>
  <c r="O30" i="6"/>
  <c r="AE30" i="6" s="1"/>
  <c r="N30" i="6"/>
  <c r="AD30" i="6" s="1"/>
  <c r="M30" i="6"/>
  <c r="K78" i="3" s="1"/>
  <c r="S29" i="6"/>
  <c r="R29" i="6"/>
  <c r="Q29" i="6"/>
  <c r="G77" i="3" s="1"/>
  <c r="O29" i="6"/>
  <c r="N29" i="6"/>
  <c r="J77" i="3" s="1"/>
  <c r="M29" i="6"/>
  <c r="AC29" i="6" s="1"/>
  <c r="K29" i="6"/>
  <c r="P77" i="3" s="1"/>
  <c r="J29" i="6"/>
  <c r="N77" i="3" s="1"/>
  <c r="I29" i="6"/>
  <c r="Y29" i="6" s="1"/>
  <c r="G29" i="6"/>
  <c r="W29" i="6" s="1"/>
  <c r="F29" i="6"/>
  <c r="R77" i="3" s="1"/>
  <c r="E29" i="6"/>
  <c r="S77" i="3" s="1"/>
  <c r="G39" i="3"/>
  <c r="F39" i="3"/>
  <c r="H39" i="3"/>
  <c r="H38" i="3"/>
  <c r="G38" i="3"/>
  <c r="F38" i="3"/>
  <c r="G37" i="3"/>
  <c r="F37" i="3"/>
  <c r="E33" i="9" a="1"/>
  <c r="F33" i="9" s="1"/>
  <c r="AI9" i="9"/>
  <c r="AH9" i="9"/>
  <c r="AG9" i="9"/>
  <c r="AI8" i="9"/>
  <c r="AH8" i="9"/>
  <c r="AG8" i="9"/>
  <c r="AE8" i="9"/>
  <c r="AD8" i="9"/>
  <c r="AC8" i="9"/>
  <c r="AA8" i="9"/>
  <c r="Z8" i="9"/>
  <c r="Y8" i="9"/>
  <c r="AI7" i="9"/>
  <c r="AH7" i="9"/>
  <c r="AG7" i="9"/>
  <c r="AI6" i="9"/>
  <c r="AH6" i="9"/>
  <c r="AG6" i="9"/>
  <c r="AE6" i="9"/>
  <c r="AD6" i="9"/>
  <c r="AC6" i="9"/>
  <c r="AA6" i="9"/>
  <c r="Z6" i="9"/>
  <c r="Y6" i="9"/>
  <c r="P51" i="7"/>
  <c r="O51" i="7"/>
  <c r="N51" i="7"/>
  <c r="P49" i="7"/>
  <c r="P50" i="7" s="1"/>
  <c r="O49" i="7"/>
  <c r="N49" i="7"/>
  <c r="N50" i="7" s="1"/>
  <c r="T47" i="3"/>
  <c r="S47" i="3"/>
  <c r="R47" i="3"/>
  <c r="P47" i="3"/>
  <c r="O47" i="3"/>
  <c r="N47" i="3"/>
  <c r="L47" i="3"/>
  <c r="K47" i="3"/>
  <c r="J47" i="3"/>
  <c r="H47" i="3"/>
  <c r="G47" i="3"/>
  <c r="F47" i="3"/>
  <c r="L53" i="3"/>
  <c r="K53" i="3"/>
  <c r="J53" i="3"/>
  <c r="L50" i="3"/>
  <c r="K50" i="3"/>
  <c r="J50" i="3"/>
  <c r="L51" i="7"/>
  <c r="K51" i="7"/>
  <c r="J51" i="7"/>
  <c r="L49" i="7"/>
  <c r="L50" i="7" s="1"/>
  <c r="K49" i="7"/>
  <c r="J49" i="7"/>
  <c r="J50" i="7" s="1"/>
  <c r="E43" i="6" a="1"/>
  <c r="H43" i="6" s="1"/>
  <c r="K16" i="5"/>
  <c r="K17" i="5" s="1"/>
  <c r="J16" i="5"/>
  <c r="J17" i="5" s="1"/>
  <c r="I16" i="5"/>
  <c r="I17" i="5" s="1"/>
  <c r="G16" i="5"/>
  <c r="G17" i="5" s="1"/>
  <c r="F16" i="5"/>
  <c r="F17" i="5" s="1"/>
  <c r="E16" i="5"/>
  <c r="E17" i="5" s="1"/>
  <c r="K12" i="5"/>
  <c r="K13" i="5" s="1"/>
  <c r="J12" i="5"/>
  <c r="J13" i="5" s="1"/>
  <c r="I12" i="5"/>
  <c r="I13" i="5" s="1"/>
  <c r="G12" i="5"/>
  <c r="G13" i="5" s="1"/>
  <c r="F12" i="5"/>
  <c r="F13" i="5" s="1"/>
  <c r="E12" i="5"/>
  <c r="E13" i="5" s="1"/>
  <c r="K16" i="4"/>
  <c r="K17" i="4" s="1"/>
  <c r="J16" i="4"/>
  <c r="J17" i="4" s="1"/>
  <c r="I16" i="4"/>
  <c r="I17" i="4" s="1"/>
  <c r="G16" i="4"/>
  <c r="G17" i="4" s="1"/>
  <c r="F16" i="4"/>
  <c r="F17" i="4" s="1"/>
  <c r="E16" i="4"/>
  <c r="E17" i="4" s="1"/>
  <c r="K12" i="4"/>
  <c r="K13" i="4" s="1"/>
  <c r="J12" i="4"/>
  <c r="J13" i="4" s="1"/>
  <c r="I12" i="4"/>
  <c r="I13" i="4" s="1"/>
  <c r="G12" i="4"/>
  <c r="G13" i="4" s="1"/>
  <c r="F12" i="4"/>
  <c r="F13" i="4" s="1"/>
  <c r="E12" i="4"/>
  <c r="E20" i="4" s="1"/>
  <c r="H53" i="3"/>
  <c r="H54" i="3" s="1"/>
  <c r="G53" i="3"/>
  <c r="G54" i="3" s="1"/>
  <c r="F53" i="3"/>
  <c r="F54" i="3" s="1"/>
  <c r="H50" i="3"/>
  <c r="G50" i="3"/>
  <c r="F50" i="3"/>
  <c r="N42" i="3" l="1" a="1"/>
  <c r="N41" i="3" a="1"/>
  <c r="N38" i="3" a="1"/>
  <c r="N43" i="3" a="1"/>
  <c r="J68" i="7" a="1"/>
  <c r="K68" i="7" s="1"/>
  <c r="N68" i="7" a="1"/>
  <c r="P68" i="7" s="1"/>
  <c r="J73" i="3" a="1"/>
  <c r="R73" i="3" a="1"/>
  <c r="F73" i="3" a="1"/>
  <c r="N73" i="3" a="1"/>
  <c r="J80" i="3"/>
  <c r="U29" i="6"/>
  <c r="AC32" i="6"/>
  <c r="AD29" i="6"/>
  <c r="AE32" i="6"/>
  <c r="Z20" i="9"/>
  <c r="K80" i="7"/>
  <c r="AE29" i="6"/>
  <c r="AA67" i="7" a="1"/>
  <c r="AA67" i="7" s="1"/>
  <c r="R73" i="7" a="1"/>
  <c r="F74" i="7" a="1"/>
  <c r="V73" i="7" a="1"/>
  <c r="F73" i="7" a="1"/>
  <c r="N73" i="7" a="1"/>
  <c r="J73" i="7" a="1"/>
  <c r="AA69" i="7" a="1"/>
  <c r="R72" i="7" a="1"/>
  <c r="F72" i="7" a="1"/>
  <c r="F70" i="7" a="1"/>
  <c r="F65" i="7" a="1"/>
  <c r="J65" i="7" a="1"/>
  <c r="F71" i="7" a="1"/>
  <c r="J70" i="7" a="1"/>
  <c r="F68" i="7" a="1"/>
  <c r="N70" i="7" a="1"/>
  <c r="F67" i="7" a="1"/>
  <c r="F69" i="7" a="1"/>
  <c r="V65" i="7" a="1"/>
  <c r="N65" i="7" a="1"/>
  <c r="R65" i="7" a="1"/>
  <c r="N69" i="7" a="1"/>
  <c r="AA68" i="7" a="1"/>
  <c r="F64" i="7" a="1"/>
  <c r="J64" i="7" a="1"/>
  <c r="N64" i="7" a="1"/>
  <c r="R64" i="7" a="1"/>
  <c r="J69" i="7" a="1"/>
  <c r="V64" i="7" a="1"/>
  <c r="AA64" i="7" a="1"/>
  <c r="R66" i="7" a="1"/>
  <c r="AI20" i="9"/>
  <c r="P80" i="7"/>
  <c r="AG22" i="9"/>
  <c r="AP20" i="9"/>
  <c r="AQ20" i="9"/>
  <c r="F66" i="7" a="1"/>
  <c r="AV54" i="3" a="1"/>
  <c r="AX54" i="3" s="1"/>
  <c r="R66" i="3" a="1"/>
  <c r="F69" i="3" a="1"/>
  <c r="N66" i="3" a="1"/>
  <c r="F66" i="3" a="1"/>
  <c r="J66" i="3" a="1"/>
  <c r="J69" i="3" a="1"/>
  <c r="K50" i="7"/>
  <c r="J67" i="7" a="1"/>
  <c r="O50" i="7"/>
  <c r="N67" i="7" a="1"/>
  <c r="O68" i="7"/>
  <c r="N64" i="3" a="1"/>
  <c r="AM70" i="3" a="1"/>
  <c r="AM71" i="3" a="1"/>
  <c r="AM64" i="3" a="1"/>
  <c r="AM67" i="3" a="1"/>
  <c r="R64" i="3" a="1"/>
  <c r="R72" i="3" a="1"/>
  <c r="F72" i="3" a="1"/>
  <c r="N65" i="3" a="1"/>
  <c r="F65" i="3" a="1"/>
  <c r="J65" i="3" a="1"/>
  <c r="F68" i="3" a="1"/>
  <c r="J72" i="3" a="1"/>
  <c r="J68" i="3" a="1"/>
  <c r="AM68" i="3" a="1"/>
  <c r="R65" i="3" a="1"/>
  <c r="N72" i="3" a="1"/>
  <c r="AV50" i="3" a="1"/>
  <c r="J64" i="3" a="1"/>
  <c r="AV53" i="3" a="1"/>
  <c r="AV51" i="3" a="1"/>
  <c r="AA66" i="7" a="1"/>
  <c r="AA63" i="7" a="1"/>
  <c r="F63" i="7" a="1"/>
  <c r="H63" i="7" s="1"/>
  <c r="F67" i="3" a="1"/>
  <c r="H67" i="3" s="1"/>
  <c r="H83" i="3" s="1"/>
  <c r="T77" i="3"/>
  <c r="AA29" i="6"/>
  <c r="AD31" i="6"/>
  <c r="AD20" i="9"/>
  <c r="L80" i="7"/>
  <c r="AI22" i="9"/>
  <c r="Z29" i="6"/>
  <c r="AC31" i="6"/>
  <c r="P81" i="7"/>
  <c r="E13" i="4"/>
  <c r="E20" i="5"/>
  <c r="K77" i="3"/>
  <c r="AE31" i="6"/>
  <c r="N80" i="7"/>
  <c r="L80" i="3"/>
  <c r="O80" i="7"/>
  <c r="F77" i="3"/>
  <c r="O77" i="3"/>
  <c r="J78" i="3"/>
  <c r="V29" i="6"/>
  <c r="AC30" i="6"/>
  <c r="R80" i="7"/>
  <c r="G80" i="7"/>
  <c r="AC20" i="9"/>
  <c r="E33" i="9"/>
  <c r="L78" i="3"/>
  <c r="J80" i="7"/>
  <c r="Y20" i="9"/>
  <c r="AH20" i="9"/>
  <c r="AE20" i="9"/>
  <c r="E35" i="9"/>
  <c r="AH21" i="9"/>
  <c r="H34" i="9"/>
  <c r="G34" i="9"/>
  <c r="F34" i="9"/>
  <c r="AA20" i="9"/>
  <c r="J63" i="7" a="1"/>
  <c r="J63" i="7" s="1"/>
  <c r="V63" i="7" a="1"/>
  <c r="X63" i="7" s="1"/>
  <c r="X84" i="7" s="1"/>
  <c r="R63" i="7" a="1"/>
  <c r="T63" i="7" s="1"/>
  <c r="T84" i="7" s="1"/>
  <c r="N63" i="7" a="1"/>
  <c r="P63" i="7" s="1"/>
  <c r="J70" i="3" a="1"/>
  <c r="L70" i="3" s="1"/>
  <c r="L84" i="3" s="1"/>
  <c r="F70" i="3" a="1"/>
  <c r="J67" i="3" a="1"/>
  <c r="J67" i="3" s="1"/>
  <c r="F64" i="3" a="1"/>
  <c r="F64" i="3" s="1"/>
  <c r="E34" i="9"/>
  <c r="H35" i="9"/>
  <c r="H33" i="9"/>
  <c r="G35" i="9"/>
  <c r="G33" i="9"/>
  <c r="F35" i="9"/>
  <c r="J54" i="3"/>
  <c r="L54" i="3"/>
  <c r="K54" i="3"/>
  <c r="E45" i="6"/>
  <c r="F44" i="6"/>
  <c r="I45" i="6"/>
  <c r="H45" i="6"/>
  <c r="G45" i="6"/>
  <c r="I43" i="6"/>
  <c r="G43" i="6"/>
  <c r="I44" i="6"/>
  <c r="F43" i="6"/>
  <c r="H44" i="6"/>
  <c r="E43" i="6"/>
  <c r="G44" i="6"/>
  <c r="E44" i="6"/>
  <c r="F45" i="6"/>
  <c r="F20" i="5"/>
  <c r="G20" i="5"/>
  <c r="H20" i="5" s="1" a="1"/>
  <c r="H20" i="5" s="1"/>
  <c r="F20" i="4"/>
  <c r="G20" i="4"/>
  <c r="N38" i="3" l="1"/>
  <c r="F59" i="3" s="1"/>
  <c r="O38" i="3"/>
  <c r="P38" i="3"/>
  <c r="P41" i="3"/>
  <c r="N41" i="3"/>
  <c r="O41" i="3"/>
  <c r="P43" i="3"/>
  <c r="N43" i="3"/>
  <c r="O43" i="3"/>
  <c r="P42" i="3"/>
  <c r="N42" i="3"/>
  <c r="O42" i="3"/>
  <c r="S24" i="12"/>
  <c r="S20" i="12"/>
  <c r="R20" i="12"/>
  <c r="Q20" i="12"/>
  <c r="R30" i="12"/>
  <c r="Q8" i="12"/>
  <c r="R8" i="12"/>
  <c r="S8" i="12"/>
  <c r="S26" i="12"/>
  <c r="R26" i="12"/>
  <c r="R12" i="12"/>
  <c r="S12" i="12"/>
  <c r="Q12" i="12"/>
  <c r="S28" i="12"/>
  <c r="R32" i="12"/>
  <c r="S16" i="12"/>
  <c r="Q16" i="12"/>
  <c r="R16" i="12"/>
  <c r="Q26" i="12"/>
  <c r="S32" i="12"/>
  <c r="S74" i="12" s="1"/>
  <c r="W74" i="12" s="1"/>
  <c r="Q32" i="12"/>
  <c r="Q24" i="12"/>
  <c r="R24" i="12"/>
  <c r="R28" i="12"/>
  <c r="Q28" i="12"/>
  <c r="S30" i="12"/>
  <c r="Q30" i="12"/>
  <c r="S18" i="12"/>
  <c r="R18" i="12"/>
  <c r="Q18" i="12"/>
  <c r="S10" i="12"/>
  <c r="R10" i="12"/>
  <c r="Q10" i="12"/>
  <c r="G59" i="3"/>
  <c r="H59" i="3"/>
  <c r="AW54" i="3"/>
  <c r="J68" i="7"/>
  <c r="AJ68" i="7" s="1"/>
  <c r="L68" i="7"/>
  <c r="AC67" i="7"/>
  <c r="AB67" i="7"/>
  <c r="N68" i="7"/>
  <c r="AN68" i="7" s="1"/>
  <c r="G58" i="7"/>
  <c r="H58" i="7"/>
  <c r="F58" i="7"/>
  <c r="P84" i="7"/>
  <c r="L64" i="7"/>
  <c r="J64" i="7"/>
  <c r="K64" i="7"/>
  <c r="H67" i="7"/>
  <c r="G67" i="7"/>
  <c r="F67" i="7"/>
  <c r="H72" i="7"/>
  <c r="G72" i="7"/>
  <c r="F72" i="7"/>
  <c r="T73" i="7"/>
  <c r="AT73" i="7" s="1"/>
  <c r="S73" i="7"/>
  <c r="AS73" i="7" s="1"/>
  <c r="R73" i="7"/>
  <c r="AR73" i="7" s="1"/>
  <c r="H64" i="7"/>
  <c r="G64" i="7"/>
  <c r="F64" i="7"/>
  <c r="O70" i="7"/>
  <c r="N70" i="7"/>
  <c r="AN70" i="7" s="1"/>
  <c r="P70" i="7"/>
  <c r="AP70" i="7" s="1"/>
  <c r="T72" i="7"/>
  <c r="R72" i="7"/>
  <c r="S72" i="7"/>
  <c r="T66" i="7"/>
  <c r="R66" i="7"/>
  <c r="S66" i="7"/>
  <c r="AC68" i="7"/>
  <c r="AA68" i="7"/>
  <c r="AB68" i="7"/>
  <c r="G68" i="7"/>
  <c r="H68" i="7"/>
  <c r="F68" i="7"/>
  <c r="AE68" i="7" s="1"/>
  <c r="AA69" i="7"/>
  <c r="AC69" i="7"/>
  <c r="AB69" i="7"/>
  <c r="P73" i="3"/>
  <c r="BB73" i="3" s="1"/>
  <c r="N73" i="3"/>
  <c r="AZ73" i="3" s="1"/>
  <c r="O73" i="3"/>
  <c r="BA73" i="3" s="1"/>
  <c r="AB64" i="7"/>
  <c r="AC64" i="7"/>
  <c r="AA64" i="7"/>
  <c r="P69" i="7"/>
  <c r="O69" i="7"/>
  <c r="N69" i="7"/>
  <c r="AN69" i="7" s="1"/>
  <c r="K70" i="7"/>
  <c r="AK70" i="7" s="1"/>
  <c r="L70" i="7"/>
  <c r="J70" i="7"/>
  <c r="AJ70" i="7" s="1"/>
  <c r="K73" i="7"/>
  <c r="AK73" i="7" s="1"/>
  <c r="J73" i="7"/>
  <c r="AJ73" i="7" s="1"/>
  <c r="L73" i="7"/>
  <c r="AL73" i="7" s="1"/>
  <c r="H73" i="3"/>
  <c r="AT73" i="3" s="1"/>
  <c r="F73" i="3"/>
  <c r="AR73" i="3" s="1"/>
  <c r="G73" i="3"/>
  <c r="AS73" i="3" s="1"/>
  <c r="G66" i="7"/>
  <c r="F66" i="7"/>
  <c r="H66" i="7"/>
  <c r="X64" i="7"/>
  <c r="V64" i="7"/>
  <c r="W64" i="7"/>
  <c r="T65" i="7"/>
  <c r="S65" i="7"/>
  <c r="R65" i="7"/>
  <c r="H71" i="7"/>
  <c r="F71" i="7"/>
  <c r="G71" i="7"/>
  <c r="P73" i="7"/>
  <c r="AP73" i="7" s="1"/>
  <c r="N73" i="7"/>
  <c r="AN73" i="7" s="1"/>
  <c r="O73" i="7"/>
  <c r="AO73" i="7" s="1"/>
  <c r="T73" i="3"/>
  <c r="BF73" i="3" s="1"/>
  <c r="S73" i="3"/>
  <c r="BE73" i="3" s="1"/>
  <c r="R73" i="3"/>
  <c r="BD73" i="3" s="1"/>
  <c r="K69" i="7"/>
  <c r="J69" i="7"/>
  <c r="AJ69" i="7" s="1"/>
  <c r="L69" i="7"/>
  <c r="P65" i="7"/>
  <c r="N65" i="7"/>
  <c r="O65" i="7"/>
  <c r="K65" i="7"/>
  <c r="L65" i="7"/>
  <c r="J65" i="7"/>
  <c r="H73" i="7"/>
  <c r="AG73" i="7" s="1"/>
  <c r="G73" i="7"/>
  <c r="AF73" i="7" s="1"/>
  <c r="F73" i="7"/>
  <c r="AE73" i="7" s="1"/>
  <c r="J73" i="3"/>
  <c r="AV73" i="3" s="1"/>
  <c r="K73" i="3"/>
  <c r="AW73" i="3" s="1"/>
  <c r="L73" i="3"/>
  <c r="AX73" i="3" s="1"/>
  <c r="T64" i="7"/>
  <c r="R64" i="7"/>
  <c r="S64" i="7"/>
  <c r="V65" i="7"/>
  <c r="W65" i="7"/>
  <c r="X65" i="7"/>
  <c r="H65" i="7"/>
  <c r="G65" i="7"/>
  <c r="F65" i="7"/>
  <c r="X73" i="7"/>
  <c r="AX73" i="7" s="1"/>
  <c r="W73" i="7"/>
  <c r="AW73" i="7" s="1"/>
  <c r="V73" i="7"/>
  <c r="AV73" i="7" s="1"/>
  <c r="H20" i="4" a="1"/>
  <c r="P64" i="7"/>
  <c r="N64" i="7"/>
  <c r="O64" i="7"/>
  <c r="H69" i="7"/>
  <c r="G69" i="7"/>
  <c r="F69" i="7"/>
  <c r="AE69" i="7" s="1"/>
  <c r="F70" i="7"/>
  <c r="AE70" i="7" s="1"/>
  <c r="G70" i="7"/>
  <c r="H70" i="7"/>
  <c r="H74" i="7"/>
  <c r="G74" i="7"/>
  <c r="F74" i="7"/>
  <c r="K69" i="3"/>
  <c r="L69" i="3"/>
  <c r="J69" i="3"/>
  <c r="G67" i="3"/>
  <c r="G83" i="3" s="1"/>
  <c r="J66" i="3"/>
  <c r="K66" i="3"/>
  <c r="L66" i="3"/>
  <c r="F66" i="3"/>
  <c r="H66" i="3"/>
  <c r="G66" i="3"/>
  <c r="F67" i="3"/>
  <c r="F83" i="3" s="1"/>
  <c r="AV54" i="3"/>
  <c r="N66" i="3"/>
  <c r="O66" i="3"/>
  <c r="P66" i="3"/>
  <c r="G69" i="3"/>
  <c r="F69" i="3"/>
  <c r="H69" i="3"/>
  <c r="R66" i="3"/>
  <c r="T66" i="3"/>
  <c r="S66" i="3"/>
  <c r="N67" i="7"/>
  <c r="N86" i="7" s="1"/>
  <c r="O67" i="7"/>
  <c r="O86" i="7" s="1"/>
  <c r="P67" i="7"/>
  <c r="P86" i="7" s="1"/>
  <c r="L67" i="7"/>
  <c r="K67" i="7"/>
  <c r="K86" i="7" s="1"/>
  <c r="J67" i="7"/>
  <c r="J86" i="7" s="1"/>
  <c r="AM68" i="3"/>
  <c r="AN68" i="3"/>
  <c r="AO68" i="3"/>
  <c r="L68" i="3"/>
  <c r="K68" i="3"/>
  <c r="J68" i="3"/>
  <c r="S64" i="3"/>
  <c r="T64" i="3"/>
  <c r="T82" i="3" s="1"/>
  <c r="R64" i="3"/>
  <c r="R82" i="3" s="1"/>
  <c r="AX51" i="3"/>
  <c r="AW51" i="3"/>
  <c r="AV51" i="3"/>
  <c r="L72" i="3"/>
  <c r="K72" i="3"/>
  <c r="J72" i="3"/>
  <c r="AN67" i="3"/>
  <c r="AO67" i="3"/>
  <c r="AM67" i="3"/>
  <c r="AX53" i="3"/>
  <c r="AW53" i="3"/>
  <c r="AV53" i="3"/>
  <c r="F68" i="3"/>
  <c r="H68" i="3"/>
  <c r="G68" i="3"/>
  <c r="AN64" i="3"/>
  <c r="AO64" i="3"/>
  <c r="AM64" i="3"/>
  <c r="AN71" i="3"/>
  <c r="AM71" i="3"/>
  <c r="AO71" i="3"/>
  <c r="L65" i="3"/>
  <c r="J65" i="3"/>
  <c r="K65" i="3"/>
  <c r="L64" i="3"/>
  <c r="L82" i="3" s="1"/>
  <c r="J64" i="3"/>
  <c r="J82" i="3" s="1"/>
  <c r="K64" i="3"/>
  <c r="K82" i="3" s="1"/>
  <c r="AX50" i="3"/>
  <c r="AW50" i="3"/>
  <c r="AV50" i="3"/>
  <c r="H65" i="3"/>
  <c r="G65" i="3"/>
  <c r="F65" i="3"/>
  <c r="AO70" i="3"/>
  <c r="AN70" i="3"/>
  <c r="AM70" i="3"/>
  <c r="K70" i="3"/>
  <c r="K84" i="3" s="1"/>
  <c r="P72" i="3"/>
  <c r="N72" i="3"/>
  <c r="O72" i="3"/>
  <c r="P65" i="3"/>
  <c r="O65" i="3"/>
  <c r="N65" i="3"/>
  <c r="O64" i="3"/>
  <c r="O82" i="3" s="1"/>
  <c r="P64" i="3"/>
  <c r="P82" i="3" s="1"/>
  <c r="N64" i="3"/>
  <c r="T65" i="3"/>
  <c r="S65" i="3"/>
  <c r="R65" i="3"/>
  <c r="F72" i="3"/>
  <c r="G72" i="3"/>
  <c r="H72" i="3"/>
  <c r="R72" i="3"/>
  <c r="T72" i="3"/>
  <c r="S72" i="3"/>
  <c r="AB63" i="7"/>
  <c r="AA63" i="7"/>
  <c r="AC63" i="7"/>
  <c r="AC66" i="7"/>
  <c r="AB66" i="7"/>
  <c r="AA66" i="7"/>
  <c r="K63" i="7"/>
  <c r="K84" i="7" s="1"/>
  <c r="J84" i="7"/>
  <c r="H84" i="7"/>
  <c r="F63" i="7"/>
  <c r="G63" i="7"/>
  <c r="E47" i="6" a="1"/>
  <c r="I47" i="6" a="1"/>
  <c r="L63" i="7"/>
  <c r="L84" i="7" s="1"/>
  <c r="P85" i="7"/>
  <c r="F82" i="3"/>
  <c r="J70" i="3"/>
  <c r="J84" i="3" s="1"/>
  <c r="W63" i="7"/>
  <c r="W84" i="7" s="1"/>
  <c r="V63" i="7"/>
  <c r="V84" i="7" s="1"/>
  <c r="J83" i="3"/>
  <c r="O63" i="7"/>
  <c r="O84" i="7" s="1"/>
  <c r="N63" i="7"/>
  <c r="N84" i="7" s="1"/>
  <c r="O85" i="7"/>
  <c r="N85" i="7"/>
  <c r="I37" i="9" a="1"/>
  <c r="K39" i="9" s="1"/>
  <c r="S63" i="7"/>
  <c r="S84" i="7" s="1"/>
  <c r="R63" i="7"/>
  <c r="R84" i="7" s="1"/>
  <c r="J85" i="7"/>
  <c r="L85" i="7"/>
  <c r="K85" i="7"/>
  <c r="L67" i="3"/>
  <c r="L83" i="3" s="1"/>
  <c r="K67" i="3"/>
  <c r="K83" i="3" s="1"/>
  <c r="J71" i="3" a="1"/>
  <c r="F70" i="3"/>
  <c r="F84" i="3" s="1"/>
  <c r="H70" i="3"/>
  <c r="H84" i="3" s="1"/>
  <c r="G70" i="3"/>
  <c r="G84" i="3" s="1"/>
  <c r="F71" i="3" a="1"/>
  <c r="H64" i="3"/>
  <c r="H82" i="3" s="1"/>
  <c r="G64" i="3"/>
  <c r="G82" i="3" s="1"/>
  <c r="N82" i="3"/>
  <c r="S82" i="3"/>
  <c r="I55" i="3" a="1"/>
  <c r="I55" i="3" s="1"/>
  <c r="E37" i="9" a="1"/>
  <c r="H20" i="4"/>
  <c r="J17" i="2"/>
  <c r="K16" i="2"/>
  <c r="K17" i="2" s="1"/>
  <c r="J16" i="2"/>
  <c r="I16" i="2"/>
  <c r="I17" i="2" s="1"/>
  <c r="G16" i="2"/>
  <c r="F16" i="2"/>
  <c r="E16" i="2"/>
  <c r="E17" i="2" s="1"/>
  <c r="K13" i="2"/>
  <c r="K12" i="2"/>
  <c r="J12" i="2"/>
  <c r="J13" i="2" s="1"/>
  <c r="I12" i="2"/>
  <c r="I13" i="2" s="1"/>
  <c r="G12" i="2"/>
  <c r="G13" i="2" s="1"/>
  <c r="F12" i="2"/>
  <c r="F13" i="2" s="1"/>
  <c r="E12" i="2"/>
  <c r="E13" i="2" s="1"/>
  <c r="R26" i="1"/>
  <c r="Q26" i="1"/>
  <c r="P26" i="1"/>
  <c r="R21" i="1"/>
  <c r="Q21" i="1"/>
  <c r="P21" i="1"/>
  <c r="S10" i="1"/>
  <c r="T9" i="1"/>
  <c r="T10" i="1" s="1"/>
  <c r="S9" i="1"/>
  <c r="R9" i="1"/>
  <c r="R10" i="1" s="1"/>
  <c r="N27" i="1"/>
  <c r="N28" i="1" s="1"/>
  <c r="M27" i="1"/>
  <c r="M28" i="1" s="1"/>
  <c r="L27" i="1"/>
  <c r="L28" i="1" s="1"/>
  <c r="N22" i="1"/>
  <c r="N23" i="1" s="1"/>
  <c r="M22" i="1"/>
  <c r="M23" i="1" s="1"/>
  <c r="L22" i="1"/>
  <c r="L23" i="1" s="1"/>
  <c r="R16" i="1"/>
  <c r="Q16" i="1"/>
  <c r="P16" i="1"/>
  <c r="N16" i="1"/>
  <c r="M16" i="1"/>
  <c r="L16" i="1"/>
  <c r="AD7" i="1"/>
  <c r="AC7" i="1"/>
  <c r="AB7" i="1"/>
  <c r="AA7" i="1"/>
  <c r="Z7" i="1"/>
  <c r="Y7" i="1"/>
  <c r="AD4" i="1"/>
  <c r="AC4" i="1"/>
  <c r="AB4" i="1"/>
  <c r="AA4" i="1"/>
  <c r="Z4" i="1"/>
  <c r="Z9" i="1" s="1"/>
  <c r="Y4" i="1"/>
  <c r="R70" i="12" l="1"/>
  <c r="V70" i="12" s="1"/>
  <c r="S62" i="12"/>
  <c r="W62" i="12" s="1"/>
  <c r="S70" i="12"/>
  <c r="W70" i="12" s="1"/>
  <c r="Q56" i="12"/>
  <c r="U56" i="12" s="1"/>
  <c r="Q58" i="12"/>
  <c r="U58" i="12" s="1"/>
  <c r="R68" i="12"/>
  <c r="V68" i="12" s="1"/>
  <c r="AF68" i="7"/>
  <c r="AL68" i="7"/>
  <c r="AX86" i="7" s="1"/>
  <c r="AL69" i="7"/>
  <c r="AG70" i="7"/>
  <c r="AP69" i="7"/>
  <c r="AK68" i="7"/>
  <c r="AW86" i="7" s="1"/>
  <c r="AO68" i="7"/>
  <c r="AW87" i="7" s="1"/>
  <c r="AF70" i="7"/>
  <c r="AP68" i="7"/>
  <c r="AL70" i="7"/>
  <c r="BM70" i="7" s="1"/>
  <c r="R74" i="12"/>
  <c r="V74" i="12" s="1"/>
  <c r="R72" i="12"/>
  <c r="V72" i="12" s="1"/>
  <c r="AO69" i="7"/>
  <c r="AG85" i="7"/>
  <c r="AF69" i="7"/>
  <c r="AE72" i="7"/>
  <c r="AG69" i="7"/>
  <c r="AG72" i="7"/>
  <c r="AG68" i="7"/>
  <c r="AX85" i="7" s="1"/>
  <c r="S72" i="12"/>
  <c r="W72" i="12" s="1"/>
  <c r="S56" i="12"/>
  <c r="W56" i="12" s="1"/>
  <c r="Q68" i="12"/>
  <c r="U68" i="12" s="1"/>
  <c r="Q74" i="12"/>
  <c r="U74" i="12" s="1"/>
  <c r="Q72" i="12"/>
  <c r="U72" i="12" s="1"/>
  <c r="Q64" i="12"/>
  <c r="U64" i="12" s="1"/>
  <c r="R56" i="12"/>
  <c r="V56" i="12" s="1"/>
  <c r="R58" i="12"/>
  <c r="V58" i="12" s="1"/>
  <c r="R64" i="12"/>
  <c r="V64" i="12" s="1"/>
  <c r="R62" i="12"/>
  <c r="V62" i="12" s="1"/>
  <c r="S64" i="12"/>
  <c r="W64" i="12" s="1"/>
  <c r="S58" i="12"/>
  <c r="W58" i="12" s="1"/>
  <c r="Q70" i="12"/>
  <c r="U70" i="12" s="1"/>
  <c r="Q62" i="12"/>
  <c r="U62" i="12" s="1"/>
  <c r="S68" i="12"/>
  <c r="W68" i="12" s="1"/>
  <c r="BK75" i="3"/>
  <c r="AT68" i="3"/>
  <c r="AO70" i="7"/>
  <c r="BL70" i="7" s="1"/>
  <c r="AF72" i="7"/>
  <c r="AE63" i="7"/>
  <c r="AN85" i="7" s="1"/>
  <c r="AH85" i="7"/>
  <c r="AK69" i="7"/>
  <c r="AG71" i="7"/>
  <c r="AS71" i="7"/>
  <c r="BL71" i="7" s="1"/>
  <c r="AS66" i="7"/>
  <c r="BL66" i="7" s="1"/>
  <c r="AE66" i="7"/>
  <c r="AE71" i="7"/>
  <c r="BB80" i="7"/>
  <c r="BF75" i="7"/>
  <c r="BB75" i="7"/>
  <c r="BF80" i="7"/>
  <c r="BG84" i="7"/>
  <c r="BC84" i="7"/>
  <c r="AL65" i="7"/>
  <c r="AG65" i="7"/>
  <c r="AX65" i="7"/>
  <c r="AT65" i="7"/>
  <c r="AP65" i="7"/>
  <c r="AT64" i="7"/>
  <c r="AG64" i="7"/>
  <c r="AG63" i="7"/>
  <c r="AX64" i="7"/>
  <c r="AP64" i="7"/>
  <c r="AX63" i="7"/>
  <c r="AP89" i="7" s="1"/>
  <c r="AH83" i="7"/>
  <c r="BC80" i="7"/>
  <c r="BG75" i="7"/>
  <c r="BC75" i="7"/>
  <c r="BG80" i="7"/>
  <c r="BH84" i="7"/>
  <c r="BA84" i="7"/>
  <c r="BE84" i="7"/>
  <c r="AR66" i="7"/>
  <c r="AN65" i="7"/>
  <c r="AJ65" i="7"/>
  <c r="AR65" i="7"/>
  <c r="AV65" i="7"/>
  <c r="AE65" i="7"/>
  <c r="AE64" i="7"/>
  <c r="AV64" i="7"/>
  <c r="AR64" i="7"/>
  <c r="AJ64" i="7"/>
  <c r="AN64" i="7"/>
  <c r="AF83" i="7"/>
  <c r="AV63" i="7"/>
  <c r="AN89" i="7" s="1"/>
  <c r="BF84" i="7"/>
  <c r="BB84" i="7"/>
  <c r="AG66" i="7"/>
  <c r="AT66" i="7"/>
  <c r="BM66" i="7" s="1"/>
  <c r="AO65" i="7"/>
  <c r="AK65" i="7"/>
  <c r="AS65" i="7"/>
  <c r="AW65" i="7"/>
  <c r="AF65" i="7"/>
  <c r="AS64" i="7"/>
  <c r="AF64" i="7"/>
  <c r="AF63" i="7"/>
  <c r="AO85" i="7" s="1"/>
  <c r="AW64" i="7"/>
  <c r="AO64" i="7"/>
  <c r="AG83" i="7"/>
  <c r="AW63" i="7"/>
  <c r="AO89" i="7" s="1"/>
  <c r="AF66" i="7"/>
  <c r="AR71" i="7"/>
  <c r="BJ75" i="3"/>
  <c r="BN75" i="3"/>
  <c r="AT71" i="7"/>
  <c r="BM71" i="7" s="1"/>
  <c r="AK64" i="7"/>
  <c r="BP75" i="3"/>
  <c r="BM75" i="3"/>
  <c r="BI75" i="3"/>
  <c r="AF85" i="7"/>
  <c r="BA80" i="7"/>
  <c r="BE75" i="7"/>
  <c r="BH80" i="7"/>
  <c r="BA75" i="7"/>
  <c r="BE80" i="7"/>
  <c r="BH75" i="7"/>
  <c r="BO75" i="3"/>
  <c r="AF71" i="7"/>
  <c r="AL64" i="7"/>
  <c r="BD66" i="3"/>
  <c r="AR66" i="3"/>
  <c r="AZ66" i="3"/>
  <c r="AV66" i="3"/>
  <c r="AX68" i="3"/>
  <c r="AX69" i="3"/>
  <c r="AT69" i="3"/>
  <c r="BB66" i="3"/>
  <c r="AT66" i="3"/>
  <c r="AX66" i="3"/>
  <c r="BF66" i="3"/>
  <c r="AW69" i="3"/>
  <c r="AS69" i="3"/>
  <c r="BA66" i="3"/>
  <c r="AS66" i="3"/>
  <c r="AW66" i="3"/>
  <c r="BE66" i="3"/>
  <c r="AV69" i="3"/>
  <c r="AR69" i="3"/>
  <c r="BO68" i="7"/>
  <c r="BK68" i="7"/>
  <c r="BR68" i="7"/>
  <c r="BP70" i="7"/>
  <c r="BR69" i="7"/>
  <c r="BO69" i="7"/>
  <c r="BK69" i="7"/>
  <c r="BF70" i="7"/>
  <c r="BM69" i="7"/>
  <c r="BE69" i="7"/>
  <c r="BA69" i="7"/>
  <c r="BH69" i="7"/>
  <c r="BL68" i="7"/>
  <c r="AF67" i="7"/>
  <c r="AS85" i="7" s="1"/>
  <c r="AO67" i="7"/>
  <c r="AS87" i="7" s="1"/>
  <c r="AK67" i="7"/>
  <c r="BH68" i="7"/>
  <c r="AJ67" i="7"/>
  <c r="BA70" i="7"/>
  <c r="BH70" i="7"/>
  <c r="BE70" i="7"/>
  <c r="AG67" i="7"/>
  <c r="AT85" i="7" s="1"/>
  <c r="AP67" i="7"/>
  <c r="AT87" i="7" s="1"/>
  <c r="AL67" i="7"/>
  <c r="AE67" i="7"/>
  <c r="AN67" i="7"/>
  <c r="AR87" i="7" s="1"/>
  <c r="L86" i="7"/>
  <c r="BO70" i="7"/>
  <c r="BK70" i="7"/>
  <c r="BR70" i="7"/>
  <c r="AV65" i="3"/>
  <c r="AZ64" i="3"/>
  <c r="BD65" i="3"/>
  <c r="AR65" i="3"/>
  <c r="AV64" i="3"/>
  <c r="BD64" i="3"/>
  <c r="AZ65" i="3"/>
  <c r="AR64" i="3"/>
  <c r="AX65" i="3"/>
  <c r="AT65" i="3"/>
  <c r="AX64" i="3"/>
  <c r="BF64" i="3"/>
  <c r="BB65" i="3"/>
  <c r="AT64" i="3"/>
  <c r="BF65" i="3"/>
  <c r="BB64" i="3"/>
  <c r="AV67" i="3"/>
  <c r="AR67" i="3"/>
  <c r="AW68" i="3"/>
  <c r="AW65" i="3"/>
  <c r="AW64" i="3"/>
  <c r="AS65" i="3"/>
  <c r="BE64" i="3"/>
  <c r="BA65" i="3"/>
  <c r="BE65" i="3"/>
  <c r="AS64" i="3"/>
  <c r="BA64" i="3"/>
  <c r="AT67" i="3"/>
  <c r="AX67" i="3"/>
  <c r="AV68" i="3"/>
  <c r="AR68" i="3"/>
  <c r="AS68" i="3"/>
  <c r="AW67" i="3"/>
  <c r="AS67" i="3"/>
  <c r="AR70" i="3"/>
  <c r="AV70" i="3"/>
  <c r="AS70" i="3"/>
  <c r="AW70" i="3"/>
  <c r="AX70" i="3"/>
  <c r="AT70" i="3"/>
  <c r="AH84" i="7"/>
  <c r="AV86" i="7"/>
  <c r="AW85" i="7"/>
  <c r="AF84" i="7"/>
  <c r="AT63" i="7"/>
  <c r="AP88" i="7" s="1"/>
  <c r="AP63" i="7"/>
  <c r="AP87" i="7" s="1"/>
  <c r="AL63" i="7"/>
  <c r="AJ63" i="7"/>
  <c r="AN63" i="7"/>
  <c r="AN87" i="7" s="1"/>
  <c r="AR63" i="7"/>
  <c r="AN88" i="7" s="1"/>
  <c r="AV87" i="7"/>
  <c r="AG84" i="7"/>
  <c r="AK63" i="7"/>
  <c r="AS63" i="7"/>
  <c r="AO88" i="7" s="1"/>
  <c r="AO63" i="7"/>
  <c r="AO87" i="7" s="1"/>
  <c r="F84" i="7"/>
  <c r="G84" i="7"/>
  <c r="F20" i="2"/>
  <c r="AA9" i="1"/>
  <c r="AA22" i="1" s="1"/>
  <c r="Y9" i="1"/>
  <c r="J47" i="6"/>
  <c r="J48" i="6"/>
  <c r="I48" i="6"/>
  <c r="K47" i="6"/>
  <c r="K49" i="6"/>
  <c r="J49" i="6"/>
  <c r="I47" i="6"/>
  <c r="I49" i="6"/>
  <c r="K48" i="6"/>
  <c r="E48" i="6"/>
  <c r="F49" i="6"/>
  <c r="E49" i="6"/>
  <c r="G48" i="6"/>
  <c r="G47" i="6"/>
  <c r="F48" i="6"/>
  <c r="F47" i="6"/>
  <c r="G49" i="6"/>
  <c r="E47" i="6"/>
  <c r="K38" i="9"/>
  <c r="J37" i="9"/>
  <c r="K37" i="9"/>
  <c r="I38" i="9"/>
  <c r="J39" i="9"/>
  <c r="J38" i="9"/>
  <c r="I39" i="9"/>
  <c r="I37" i="9"/>
  <c r="F71" i="3"/>
  <c r="F85" i="3" s="1"/>
  <c r="H71" i="3"/>
  <c r="H85" i="3" s="1"/>
  <c r="G71" i="3"/>
  <c r="G85" i="3" s="1"/>
  <c r="J71" i="3"/>
  <c r="J85" i="3" s="1"/>
  <c r="L71" i="3"/>
  <c r="L85" i="3" s="1"/>
  <c r="K71" i="3"/>
  <c r="K85" i="3" s="1"/>
  <c r="E37" i="9"/>
  <c r="F37" i="9"/>
  <c r="G39" i="9"/>
  <c r="F39" i="9"/>
  <c r="E39" i="9"/>
  <c r="G38" i="9"/>
  <c r="F38" i="9"/>
  <c r="E38" i="9"/>
  <c r="G37" i="9"/>
  <c r="G20" i="2"/>
  <c r="G17" i="2"/>
  <c r="F17" i="2"/>
  <c r="E20" i="2"/>
  <c r="BK70" i="3" l="1"/>
  <c r="BC69" i="7"/>
  <c r="BQ69" i="7"/>
  <c r="BM68" i="7"/>
  <c r="BB69" i="7"/>
  <c r="BB70" i="7"/>
  <c r="BP68" i="7"/>
  <c r="BG70" i="7"/>
  <c r="BC70" i="7"/>
  <c r="BQ70" i="7"/>
  <c r="BP69" i="7"/>
  <c r="BL69" i="7"/>
  <c r="AX87" i="7"/>
  <c r="AX91" i="7" s="1"/>
  <c r="BG69" i="7"/>
  <c r="BF69" i="7"/>
  <c r="BQ68" i="7"/>
  <c r="BK64" i="3"/>
  <c r="BK66" i="3"/>
  <c r="BK68" i="3"/>
  <c r="BK67" i="3"/>
  <c r="BK65" i="3"/>
  <c r="BK69" i="3"/>
  <c r="BO68" i="3"/>
  <c r="BE66" i="7"/>
  <c r="BA66" i="7"/>
  <c r="BH66" i="7"/>
  <c r="BP63" i="7"/>
  <c r="BL63" i="7"/>
  <c r="AO86" i="7"/>
  <c r="BA63" i="7"/>
  <c r="BE67" i="7"/>
  <c r="BP64" i="7"/>
  <c r="BL64" i="7"/>
  <c r="BP65" i="7"/>
  <c r="BL65" i="7"/>
  <c r="BO65" i="7"/>
  <c r="BK65" i="7"/>
  <c r="BR65" i="7"/>
  <c r="BM64" i="7"/>
  <c r="BQ64" i="7"/>
  <c r="BF63" i="7"/>
  <c r="BO64" i="7"/>
  <c r="BK64" i="7"/>
  <c r="BR64" i="7"/>
  <c r="BF71" i="7"/>
  <c r="BB71" i="7"/>
  <c r="BF64" i="7"/>
  <c r="BB64" i="7"/>
  <c r="BC66" i="7"/>
  <c r="BG66" i="7"/>
  <c r="BR66" i="7"/>
  <c r="BK66" i="7"/>
  <c r="BC65" i="7"/>
  <c r="BG65" i="7"/>
  <c r="BA72" i="7"/>
  <c r="BR71" i="7"/>
  <c r="BK71" i="7"/>
  <c r="BH71" i="7"/>
  <c r="BQ65" i="7"/>
  <c r="BM65" i="7"/>
  <c r="AO91" i="7"/>
  <c r="BK63" i="7"/>
  <c r="BR63" i="7"/>
  <c r="BO63" i="7"/>
  <c r="AN86" i="7"/>
  <c r="AN91" i="7" s="1"/>
  <c r="BF66" i="7"/>
  <c r="BB66" i="7"/>
  <c r="BF65" i="7"/>
  <c r="BB65" i="7"/>
  <c r="BH64" i="7"/>
  <c r="BE64" i="7"/>
  <c r="BA64" i="7"/>
  <c r="BA71" i="7"/>
  <c r="BG63" i="7"/>
  <c r="AP85" i="7"/>
  <c r="BC63" i="7"/>
  <c r="BC71" i="7"/>
  <c r="BH63" i="7"/>
  <c r="BQ63" i="7"/>
  <c r="BM63" i="7"/>
  <c r="AP86" i="7"/>
  <c r="BB63" i="7"/>
  <c r="BH72" i="7"/>
  <c r="BE65" i="7"/>
  <c r="BA65" i="7"/>
  <c r="BH65" i="7"/>
  <c r="BE71" i="7"/>
  <c r="BC64" i="7"/>
  <c r="BG64" i="7"/>
  <c r="BG71" i="7"/>
  <c r="BE63" i="7"/>
  <c r="BO66" i="3"/>
  <c r="AR71" i="3"/>
  <c r="BN66" i="3"/>
  <c r="BJ66" i="3"/>
  <c r="BO69" i="3"/>
  <c r="BN69" i="3"/>
  <c r="BJ69" i="3"/>
  <c r="AS71" i="3"/>
  <c r="BI69" i="3"/>
  <c r="BP69" i="3"/>
  <c r="BM69" i="3"/>
  <c r="BM66" i="3"/>
  <c r="BI66" i="3"/>
  <c r="BP66" i="3"/>
  <c r="AR85" i="7"/>
  <c r="BR67" i="7"/>
  <c r="BO67" i="7"/>
  <c r="BK67" i="7"/>
  <c r="BP67" i="7"/>
  <c r="BL67" i="7"/>
  <c r="BH67" i="7"/>
  <c r="BQ67" i="7"/>
  <c r="BM67" i="7"/>
  <c r="BJ67" i="3"/>
  <c r="BN67" i="3"/>
  <c r="BJ64" i="3"/>
  <c r="BN64" i="3"/>
  <c r="BP67" i="3"/>
  <c r="BI67" i="3"/>
  <c r="BM67" i="3"/>
  <c r="BO65" i="3"/>
  <c r="AV71" i="3"/>
  <c r="BO70" i="3"/>
  <c r="BJ68" i="3"/>
  <c r="BN68" i="3"/>
  <c r="BI64" i="3"/>
  <c r="BM64" i="3"/>
  <c r="BP64" i="3"/>
  <c r="BN70" i="3"/>
  <c r="BJ70" i="3"/>
  <c r="BP70" i="3"/>
  <c r="BM70" i="3"/>
  <c r="BI70" i="3"/>
  <c r="BI68" i="3"/>
  <c r="BP68" i="3"/>
  <c r="BM68" i="3"/>
  <c r="AX71" i="3"/>
  <c r="BJ65" i="3"/>
  <c r="BN65" i="3"/>
  <c r="BO64" i="3"/>
  <c r="AW71" i="3"/>
  <c r="AT71" i="3"/>
  <c r="BO67" i="3"/>
  <c r="BP65" i="3"/>
  <c r="BI65" i="3"/>
  <c r="BM65" i="3"/>
  <c r="BF67" i="7"/>
  <c r="AS86" i="7"/>
  <c r="AS91" i="7" s="1"/>
  <c r="BB67" i="7"/>
  <c r="AR86" i="7"/>
  <c r="BA67" i="7"/>
  <c r="BG67" i="7"/>
  <c r="AT86" i="7"/>
  <c r="AT91" i="7" s="1"/>
  <c r="BC67" i="7"/>
  <c r="BF68" i="7"/>
  <c r="BE68" i="7"/>
  <c r="AV85" i="7"/>
  <c r="AV91" i="7" s="1"/>
  <c r="BA68" i="7"/>
  <c r="BB68" i="7"/>
  <c r="BC68" i="7"/>
  <c r="AW91" i="7"/>
  <c r="BG68" i="7"/>
  <c r="E52" i="6" a="1"/>
  <c r="H20" i="2" a="1"/>
  <c r="E42" i="9" a="1"/>
  <c r="E43" i="9" s="1"/>
  <c r="H20" i="2"/>
  <c r="BK71" i="3" l="1"/>
  <c r="BM71" i="3"/>
  <c r="BN71" i="3"/>
  <c r="BJ71" i="3"/>
  <c r="AR91" i="7"/>
  <c r="BI71" i="3"/>
  <c r="BP71" i="3"/>
  <c r="AP91" i="7"/>
  <c r="BO71" i="3"/>
  <c r="F53" i="6"/>
  <c r="E53" i="6"/>
  <c r="E54" i="6"/>
  <c r="G53" i="6"/>
  <c r="F54" i="6"/>
  <c r="F52" i="6"/>
  <c r="G52" i="6"/>
  <c r="G54" i="6"/>
  <c r="E52" i="6"/>
  <c r="E44" i="9"/>
  <c r="G43" i="9"/>
  <c r="F43" i="9"/>
  <c r="E42" i="9"/>
  <c r="F44" i="9"/>
  <c r="G44" i="9"/>
  <c r="F42" i="9"/>
  <c r="G42" i="9"/>
  <c r="I52" i="6" l="1" a="1"/>
  <c r="I42" i="9" a="1"/>
  <c r="K42" i="9" s="1"/>
  <c r="J53" i="6" l="1"/>
  <c r="K54" i="6"/>
  <c r="I54" i="6"/>
  <c r="J54" i="6"/>
  <c r="I53" i="6"/>
  <c r="K52" i="6"/>
  <c r="J52" i="6"/>
  <c r="K53" i="6"/>
  <c r="I52" i="6"/>
  <c r="J43" i="9"/>
  <c r="I44" i="9"/>
  <c r="I43" i="9"/>
  <c r="K43" i="9"/>
  <c r="J44" i="9"/>
  <c r="I42" i="9"/>
  <c r="K44" i="9"/>
  <c r="J42" i="9"/>
  <c r="M36" i="6" l="1" a="1"/>
  <c r="M52" i="6" a="1"/>
  <c r="M27" i="9" a="1"/>
  <c r="M42" i="9" a="1"/>
  <c r="M44" i="9" s="1"/>
  <c r="M54" i="6" l="1"/>
  <c r="N52" i="6"/>
  <c r="O53" i="6"/>
  <c r="O54" i="6"/>
  <c r="M52" i="6"/>
  <c r="N54" i="6"/>
  <c r="N53" i="6"/>
  <c r="M53" i="6"/>
  <c r="O52" i="6"/>
  <c r="O36" i="6"/>
  <c r="S36" i="6" s="1"/>
  <c r="N40" i="6"/>
  <c r="R40" i="6" s="1"/>
  <c r="N38" i="6"/>
  <c r="R38" i="6" s="1"/>
  <c r="M36" i="6"/>
  <c r="Q36" i="6" s="1"/>
  <c r="O38" i="6"/>
  <c r="S38" i="6" s="1"/>
  <c r="M37" i="6"/>
  <c r="Q37" i="6" s="1"/>
  <c r="O40" i="6"/>
  <c r="S40" i="6" s="1"/>
  <c r="O39" i="6"/>
  <c r="S39" i="6" s="1"/>
  <c r="O37" i="6"/>
  <c r="S37" i="6" s="1"/>
  <c r="M39" i="6"/>
  <c r="Q39" i="6" s="1"/>
  <c r="M40" i="6"/>
  <c r="Q40" i="6" s="1"/>
  <c r="N39" i="6"/>
  <c r="R39" i="6" s="1"/>
  <c r="N37" i="6"/>
  <c r="R37" i="6" s="1"/>
  <c r="N36" i="6"/>
  <c r="R36" i="6" s="1"/>
  <c r="M38" i="6"/>
  <c r="Q38" i="6" s="1"/>
  <c r="M27" i="9"/>
  <c r="Q27" i="9" s="1"/>
  <c r="N30" i="9"/>
  <c r="R30" i="9" s="1"/>
  <c r="O30" i="9"/>
  <c r="S30" i="9" s="1"/>
  <c r="O27" i="9"/>
  <c r="S27" i="9" s="1"/>
  <c r="M28" i="9"/>
  <c r="Q28" i="9" s="1"/>
  <c r="M30" i="9"/>
  <c r="Q30" i="9" s="1"/>
  <c r="O29" i="9"/>
  <c r="S29" i="9" s="1"/>
  <c r="N27" i="9"/>
  <c r="R27" i="9" s="1"/>
  <c r="N29" i="9"/>
  <c r="R29" i="9" s="1"/>
  <c r="M29" i="9"/>
  <c r="Q29" i="9" s="1"/>
  <c r="O28" i="9"/>
  <c r="S28" i="9" s="1"/>
  <c r="N28" i="9"/>
  <c r="R28" i="9" s="1"/>
  <c r="N44" i="9"/>
  <c r="M42" i="9"/>
  <c r="O44" i="9"/>
  <c r="N42" i="9"/>
  <c r="M43" i="9"/>
  <c r="O42" i="9"/>
  <c r="N43" i="9"/>
  <c r="O43" i="9"/>
  <c r="E51" i="9" l="1" a="1"/>
  <c r="E62" i="6" a="1"/>
  <c r="E66" i="6" a="1"/>
  <c r="E58" i="6" a="1"/>
  <c r="E74" i="6" a="1"/>
  <c r="E70" i="6" a="1"/>
  <c r="F55" i="9" a="1"/>
  <c r="F55" i="9" s="1"/>
  <c r="E55" i="9" a="1"/>
  <c r="E56" i="9" s="1"/>
  <c r="F74" i="6" a="1"/>
  <c r="F70" i="6" a="1"/>
  <c r="F66" i="6" a="1"/>
  <c r="F62" i="6" a="1"/>
  <c r="F58" i="6" a="1"/>
  <c r="G74" i="6" a="1"/>
  <c r="G70" i="6" a="1"/>
  <c r="G66" i="6" a="1"/>
  <c r="G58" i="6" a="1"/>
  <c r="G62" i="6" a="1"/>
  <c r="G47" i="9" a="1"/>
  <c r="G47" i="9" s="1"/>
  <c r="E59" i="9" a="1"/>
  <c r="E59" i="9" s="1"/>
  <c r="F47" i="9" a="1"/>
  <c r="F48" i="9" s="1"/>
  <c r="G51" i="9" a="1"/>
  <c r="G52" i="9" s="1"/>
  <c r="E47" i="9" a="1"/>
  <c r="E47" i="9" s="1"/>
  <c r="F51" i="9" a="1"/>
  <c r="F52" i="9" s="1"/>
  <c r="G55" i="9" a="1"/>
  <c r="G57" i="9" s="1"/>
  <c r="G59" i="9" a="1"/>
  <c r="G59" i="9" s="1"/>
  <c r="F59" i="9" a="1"/>
  <c r="F61" i="9" s="1"/>
  <c r="E53" i="9"/>
  <c r="E52" i="9"/>
  <c r="E51" i="9"/>
  <c r="G53" i="9"/>
  <c r="F56" i="9" l="1"/>
  <c r="E57" i="9"/>
  <c r="F57" i="9"/>
  <c r="G68" i="6"/>
  <c r="G66" i="6"/>
  <c r="G67" i="6"/>
  <c r="F47" i="9"/>
  <c r="I47" i="9" s="1" a="1"/>
  <c r="G72" i="6"/>
  <c r="G70" i="6"/>
  <c r="G71" i="6"/>
  <c r="G60" i="6"/>
  <c r="G58" i="6"/>
  <c r="G59" i="6"/>
  <c r="G48" i="9"/>
  <c r="G76" i="6"/>
  <c r="G74" i="6"/>
  <c r="G75" i="6"/>
  <c r="E72" i="6"/>
  <c r="E70" i="6"/>
  <c r="E71" i="6"/>
  <c r="F49" i="9"/>
  <c r="E74" i="6"/>
  <c r="E75" i="6"/>
  <c r="E76" i="6"/>
  <c r="F60" i="6"/>
  <c r="F58" i="6"/>
  <c r="F59" i="6"/>
  <c r="E60" i="9"/>
  <c r="F62" i="6"/>
  <c r="F63" i="6"/>
  <c r="F64" i="6"/>
  <c r="E59" i="6"/>
  <c r="E60" i="6"/>
  <c r="E58" i="6"/>
  <c r="E61" i="9"/>
  <c r="E55" i="9"/>
  <c r="F68" i="6"/>
  <c r="F66" i="6"/>
  <c r="F67" i="6"/>
  <c r="E68" i="6"/>
  <c r="E66" i="6"/>
  <c r="E67" i="6"/>
  <c r="F76" i="6"/>
  <c r="F74" i="6"/>
  <c r="F75" i="6"/>
  <c r="G63" i="6"/>
  <c r="G64" i="6"/>
  <c r="G62" i="6"/>
  <c r="F72" i="6"/>
  <c r="F71" i="6"/>
  <c r="F70" i="6"/>
  <c r="E64" i="6"/>
  <c r="E62" i="6"/>
  <c r="E63" i="6"/>
  <c r="F53" i="9"/>
  <c r="G51" i="9"/>
  <c r="G49" i="9"/>
  <c r="G61" i="9"/>
  <c r="E48" i="9"/>
  <c r="E49" i="9"/>
  <c r="G60" i="9"/>
  <c r="G55" i="9"/>
  <c r="G56" i="9"/>
  <c r="F51" i="9"/>
  <c r="I51" i="9" s="1" a="1"/>
  <c r="F59" i="9"/>
  <c r="F60" i="9"/>
  <c r="K49" i="9" l="1"/>
  <c r="K48" i="9"/>
  <c r="I49" i="9"/>
  <c r="I47" i="9"/>
  <c r="J47" i="9"/>
  <c r="J49" i="9"/>
  <c r="I48" i="9"/>
  <c r="K47" i="9"/>
  <c r="J48" i="9"/>
  <c r="I70" i="6" a="1"/>
  <c r="I55" i="9" a="1"/>
  <c r="I56" i="9" s="1"/>
  <c r="I58" i="6" a="1"/>
  <c r="I59" i="9" a="1"/>
  <c r="J60" i="9" s="1"/>
  <c r="I66" i="6" a="1"/>
  <c r="I62" i="6" a="1"/>
  <c r="I74" i="6" a="1"/>
  <c r="K51" i="9"/>
  <c r="J51" i="9"/>
  <c r="K53" i="9"/>
  <c r="I51" i="9"/>
  <c r="J53" i="9"/>
  <c r="I53" i="9"/>
  <c r="K52" i="9"/>
  <c r="J52" i="9"/>
  <c r="I52" i="9"/>
  <c r="J57" i="9"/>
  <c r="I57" i="9"/>
  <c r="K56" i="9"/>
  <c r="J56" i="9"/>
  <c r="J61" i="9" l="1"/>
  <c r="I55" i="9"/>
  <c r="J59" i="9"/>
  <c r="I61" i="9"/>
  <c r="J55" i="9"/>
  <c r="K57" i="9"/>
  <c r="AM21" i="9" s="1"/>
  <c r="K59" i="9"/>
  <c r="I59" i="9"/>
  <c r="K61" i="9"/>
  <c r="K55" i="9"/>
  <c r="I60" i="9"/>
  <c r="K60" i="9"/>
  <c r="I75" i="6"/>
  <c r="K76" i="6"/>
  <c r="J75" i="6"/>
  <c r="M75" i="6" s="1"/>
  <c r="P75" i="6" s="1"/>
  <c r="I74" i="6"/>
  <c r="K75" i="6"/>
  <c r="K74" i="6"/>
  <c r="I76" i="6"/>
  <c r="J74" i="6"/>
  <c r="J76" i="6"/>
  <c r="J62" i="6"/>
  <c r="I62" i="6"/>
  <c r="J64" i="6"/>
  <c r="K64" i="6"/>
  <c r="I64" i="6"/>
  <c r="K62" i="6"/>
  <c r="J63" i="6"/>
  <c r="K63" i="6"/>
  <c r="I63" i="6"/>
  <c r="AL22" i="9"/>
  <c r="M48" i="9"/>
  <c r="P48" i="9" s="1"/>
  <c r="J66" i="6"/>
  <c r="I66" i="6"/>
  <c r="K68" i="6"/>
  <c r="J67" i="6"/>
  <c r="J68" i="6"/>
  <c r="K66" i="6"/>
  <c r="I67" i="6"/>
  <c r="K67" i="6"/>
  <c r="I68" i="6"/>
  <c r="I72" i="6"/>
  <c r="J72" i="6"/>
  <c r="J70" i="6"/>
  <c r="K71" i="6"/>
  <c r="I71" i="6"/>
  <c r="J71" i="6"/>
  <c r="M71" i="6" s="1"/>
  <c r="P71" i="6" s="1"/>
  <c r="K70" i="6"/>
  <c r="K72" i="6"/>
  <c r="I70" i="6"/>
  <c r="AM22" i="9"/>
  <c r="M49" i="9"/>
  <c r="Q49" i="9" s="1"/>
  <c r="K59" i="6"/>
  <c r="J60" i="6"/>
  <c r="J59" i="6"/>
  <c r="K60" i="6"/>
  <c r="I60" i="6"/>
  <c r="I59" i="6"/>
  <c r="J58" i="6"/>
  <c r="K58" i="6"/>
  <c r="I58" i="6"/>
  <c r="M47" i="9"/>
  <c r="AK22" i="9"/>
  <c r="AK21" i="9"/>
  <c r="AK20" i="9"/>
  <c r="AL21" i="9"/>
  <c r="AL20" i="9"/>
  <c r="M59" i="9"/>
  <c r="M55" i="9"/>
  <c r="M51" i="9"/>
  <c r="M61" i="9"/>
  <c r="Q61" i="9" s="1"/>
  <c r="M53" i="9"/>
  <c r="M56" i="9"/>
  <c r="M52" i="9"/>
  <c r="M60" i="9"/>
  <c r="AM20" i="9" l="1"/>
  <c r="M57" i="9"/>
  <c r="Q57" i="9" s="1"/>
  <c r="M76" i="6"/>
  <c r="Q75" i="6" s="1"/>
  <c r="Q76" i="6"/>
  <c r="P76" i="6"/>
  <c r="P70" i="6"/>
  <c r="M67" i="6"/>
  <c r="P67" i="6" s="1"/>
  <c r="AH32" i="6"/>
  <c r="M63" i="6"/>
  <c r="AH29" i="6"/>
  <c r="M68" i="6"/>
  <c r="Q68" i="6" s="1"/>
  <c r="AI32" i="6"/>
  <c r="AG31" i="6"/>
  <c r="M58" i="6"/>
  <c r="AG30" i="6"/>
  <c r="M70" i="6"/>
  <c r="O71" i="6" s="1"/>
  <c r="M66" i="6"/>
  <c r="I23" i="6" s="1" a="1"/>
  <c r="AG32" i="6"/>
  <c r="M72" i="6"/>
  <c r="P72" i="6" s="1"/>
  <c r="M64" i="6"/>
  <c r="Q64" i="6" s="1"/>
  <c r="AI29" i="6"/>
  <c r="AI30" i="6"/>
  <c r="M60" i="6"/>
  <c r="Q60" i="6" s="1"/>
  <c r="AI31" i="6"/>
  <c r="P64" i="6"/>
  <c r="M74" i="6"/>
  <c r="M59" i="6"/>
  <c r="P59" i="6" s="1"/>
  <c r="AH31" i="6"/>
  <c r="AH30" i="6"/>
  <c r="M62" i="6"/>
  <c r="O63" i="6" s="1"/>
  <c r="AG29" i="6"/>
  <c r="P55" i="9"/>
  <c r="P47" i="9"/>
  <c r="Q51" i="9"/>
  <c r="Q53" i="9"/>
  <c r="O56" i="9"/>
  <c r="I13" i="9" a="1"/>
  <c r="K13" i="9" s="1"/>
  <c r="Q52" i="9"/>
  <c r="I15" i="9" a="1"/>
  <c r="K15" i="9" s="1"/>
  <c r="Q59" i="9"/>
  <c r="P52" i="9"/>
  <c r="Q47" i="9"/>
  <c r="P53" i="9"/>
  <c r="O47" i="9"/>
  <c r="Q56" i="9"/>
  <c r="O49" i="9"/>
  <c r="P56" i="9"/>
  <c r="Q55" i="9"/>
  <c r="O48" i="9"/>
  <c r="Q48" i="9"/>
  <c r="Q60" i="9"/>
  <c r="I16" i="9" a="1"/>
  <c r="J16" i="9" s="1"/>
  <c r="O52" i="9"/>
  <c r="O51" i="9"/>
  <c r="P59" i="9"/>
  <c r="P61" i="9"/>
  <c r="O59" i="9"/>
  <c r="P49" i="9"/>
  <c r="I14" i="9" a="1"/>
  <c r="P57" i="9"/>
  <c r="O55" i="9"/>
  <c r="P60" i="9"/>
  <c r="O53" i="9"/>
  <c r="O57" i="9"/>
  <c r="O60" i="9"/>
  <c r="P51" i="9"/>
  <c r="O61" i="9"/>
  <c r="Q71" i="6" l="1"/>
  <c r="O72" i="6"/>
  <c r="O70" i="6"/>
  <c r="I21" i="6" a="1"/>
  <c r="I21" i="6" s="1"/>
  <c r="I25" i="6" a="1"/>
  <c r="K25" i="6" s="1"/>
  <c r="P66" i="6"/>
  <c r="I22" i="6" a="1"/>
  <c r="I25" i="6"/>
  <c r="P74" i="6"/>
  <c r="Q58" i="6"/>
  <c r="O74" i="6"/>
  <c r="P60" i="6"/>
  <c r="Q72" i="6"/>
  <c r="I24" i="6" a="1"/>
  <c r="Q66" i="6"/>
  <c r="O68" i="6"/>
  <c r="P58" i="6"/>
  <c r="O60" i="6"/>
  <c r="O59" i="6"/>
  <c r="O76" i="6"/>
  <c r="P62" i="6"/>
  <c r="Q63" i="6"/>
  <c r="O62" i="6"/>
  <c r="Q67" i="6"/>
  <c r="O64" i="6"/>
  <c r="O75" i="6"/>
  <c r="Q62" i="6"/>
  <c r="P63" i="6"/>
  <c r="Q59" i="6"/>
  <c r="J23" i="6"/>
  <c r="I23" i="6"/>
  <c r="K23" i="6"/>
  <c r="O67" i="6"/>
  <c r="Q70" i="6"/>
  <c r="P68" i="6"/>
  <c r="O66" i="6"/>
  <c r="O58" i="6"/>
  <c r="Q74" i="6"/>
  <c r="I15" i="9"/>
  <c r="J15" i="9"/>
  <c r="I13" i="9"/>
  <c r="J13" i="9"/>
  <c r="I16" i="9"/>
  <c r="K16" i="9"/>
  <c r="K14" i="9"/>
  <c r="J14" i="9"/>
  <c r="I14" i="9"/>
  <c r="K21" i="6" l="1"/>
  <c r="J21" i="6"/>
  <c r="J25" i="6"/>
  <c r="J22" i="6"/>
  <c r="K22" i="6"/>
  <c r="I22" i="6"/>
  <c r="J24" i="6"/>
  <c r="I24" i="6"/>
  <c r="K24" i="6"/>
</calcChain>
</file>

<file path=xl/sharedStrings.xml><?xml version="1.0" encoding="utf-8"?>
<sst xmlns="http://schemas.openxmlformats.org/spreadsheetml/2006/main" count="3303" uniqueCount="290">
  <si>
    <t>VLBI-CP0</t>
  </si>
  <si>
    <t>SLR-PGPS</t>
  </si>
  <si>
    <t>Kas11</t>
  </si>
  <si>
    <t>KGNI</t>
  </si>
  <si>
    <t>N</t>
  </si>
  <si>
    <t>E</t>
  </si>
  <si>
    <t>U</t>
  </si>
  <si>
    <t>Average</t>
  </si>
  <si>
    <t>std dev[mm]</t>
  </si>
  <si>
    <t>H25(2013)</t>
  </si>
  <si>
    <t>H11(1999)</t>
  </si>
  <si>
    <t>H10(1998)</t>
  </si>
  <si>
    <t>H9(1997)</t>
  </si>
  <si>
    <t>H8(1996)</t>
  </si>
  <si>
    <t>S3原点網平均</t>
  </si>
  <si>
    <t>[m]</t>
  </si>
  <si>
    <t>[mm]</t>
  </si>
  <si>
    <t>Error</t>
  </si>
  <si>
    <t>GPS-VLBI</t>
  </si>
  <si>
    <t>VLBI中心回転法</t>
  </si>
  <si>
    <t>VLBI中心直接法</t>
  </si>
  <si>
    <t>PGPS</t>
  </si>
  <si>
    <t>X</t>
  </si>
  <si>
    <t>Y</t>
  </si>
  <si>
    <t>Z</t>
  </si>
  <si>
    <t>Kas11-CP0</t>
  </si>
  <si>
    <t>Kas34-CP0</t>
  </si>
  <si>
    <t>Position　[m]</t>
  </si>
  <si>
    <t>Error [m]</t>
  </si>
  <si>
    <t>KSMV-Kas11</t>
  </si>
  <si>
    <t>KSMV-Kas34</t>
  </si>
  <si>
    <t>kas34-Kas11</t>
  </si>
  <si>
    <t>SLR-CP0</t>
  </si>
  <si>
    <t>H8(1997)</t>
  </si>
  <si>
    <t>H9(1998)</t>
  </si>
  <si>
    <t>H10(1999)</t>
  </si>
  <si>
    <t>H11(2000)</t>
  </si>
  <si>
    <t>GSI-GPS</t>
  </si>
  <si>
    <t>差分</t>
  </si>
  <si>
    <t>基準</t>
  </si>
  <si>
    <t>局所座標系とNEU</t>
  </si>
  <si>
    <t>A</t>
  </si>
  <si>
    <t>At</t>
  </si>
  <si>
    <t>AtA</t>
  </si>
  <si>
    <t>(AtA)-1</t>
  </si>
  <si>
    <t>At*y</t>
  </si>
  <si>
    <t>R</t>
  </si>
  <si>
    <t>x*R=ENU</t>
  </si>
  <si>
    <t>測定誤差[mm]</t>
  </si>
  <si>
    <t>R(=Et)</t>
  </si>
  <si>
    <t>E(Euler rotation matirix)</t>
  </si>
  <si>
    <t>ENU=E*XYZ</t>
  </si>
  <si>
    <t>SLR-GPS</t>
  </si>
  <si>
    <t>誤差行列</t>
  </si>
  <si>
    <t>誤差[mm]</t>
  </si>
  <si>
    <t>SLR-cp0</t>
  </si>
  <si>
    <t>Kas11-cp0</t>
  </si>
  <si>
    <t>Kas34-cp0</t>
  </si>
  <si>
    <t>相関行列</t>
  </si>
  <si>
    <t>⇒</t>
  </si>
  <si>
    <t>XYZ はローカル座標</t>
  </si>
  <si>
    <t>ITRF94 Position　[m]</t>
  </si>
  <si>
    <t>Kog11-CP0</t>
  </si>
  <si>
    <t>KGNI-Kog11</t>
  </si>
  <si>
    <t>KGNI-SLR</t>
  </si>
  <si>
    <t>Kas11-SLR</t>
  </si>
  <si>
    <t>H11</t>
  </si>
  <si>
    <t>ENU-ENU(est)</t>
  </si>
  <si>
    <t>llh</t>
  </si>
  <si>
    <t>Longitude</t>
  </si>
  <si>
    <t>Latitude</t>
  </si>
  <si>
    <t>Height</t>
  </si>
  <si>
    <t>xyz</t>
  </si>
  <si>
    <t>差分[mm]</t>
  </si>
  <si>
    <t>局所座標系の相対ベクトル [m]</t>
  </si>
  <si>
    <t>Kog11-SLR</t>
  </si>
  <si>
    <t>ITRF2008 Position　[m]</t>
  </si>
  <si>
    <t>geodetic Poisitons in local coordinates</t>
  </si>
  <si>
    <t>Reference point of SLR station of the site</t>
  </si>
  <si>
    <t>Reference point of VLBI station of the kashima 11m sation</t>
  </si>
  <si>
    <t>Reference point of geodetic GPS station (IGS antenna )</t>
  </si>
  <si>
    <t>Reference point of VLBI station of the kashima 34m sation</t>
  </si>
  <si>
    <t>Reference point of the Geonet GNSS antenna maintained by GSI.</t>
  </si>
  <si>
    <t>XYZ: Local Coodinates</t>
  </si>
  <si>
    <t>Error [mm]</t>
  </si>
  <si>
    <t>XYZ local coodrinats and Topocentric Coordinates (ENU)</t>
  </si>
  <si>
    <t>Error Matrix</t>
  </si>
  <si>
    <t>Error[mm]</t>
  </si>
  <si>
    <t>Correlation Matrix</t>
  </si>
  <si>
    <t>Difference [mm] w.r.t 2000</t>
  </si>
  <si>
    <t>1. Introduction</t>
  </si>
  <si>
    <t>Local Survey report (Kashima)</t>
  </si>
  <si>
    <t>30 April  2019   Mamoru Sekido</t>
  </si>
  <si>
    <t>2. Geodetic Position names in this report</t>
  </si>
  <si>
    <t>Reference point of VLBI station of the kashima 11m station</t>
  </si>
  <si>
    <t>Reference point of VLBI station of the kashima 34m station</t>
  </si>
  <si>
    <t xml:space="preserve"> [m]</t>
  </si>
  <si>
    <t>For the data of empty column,  the  measurement has not be done in that year.</t>
  </si>
  <si>
    <t xml:space="preserve">3. Topocentric Coordinates of Geodetic points  </t>
  </si>
  <si>
    <t xml:space="preserve">4. Local Tie   </t>
  </si>
  <si>
    <t xml:space="preserve">Error values are given in local XYZ coordinates only for the measurement in 2000. Thus error of topocentric coordinates is derived by coordinates transformation </t>
  </si>
  <si>
    <t>Local Survey report (Koganei)</t>
  </si>
  <si>
    <t>Rotation Matrix A which convert from XYZ local coordinates to topocentric coordinates (ENU)</t>
  </si>
  <si>
    <t>This is a report summarizing  local survey data conducted in the Key Stone Project during 1996-1999. If there are some mis calculations or mis copying data in this report should be attribute to this author. Please refer  to original data for correctness.</t>
  </si>
  <si>
    <t>Error Matrix of the coordinate transformation for the measurement in 1999.</t>
  </si>
  <si>
    <t>Error of data in 1999  [mm]</t>
  </si>
  <si>
    <t>This is a report summarizing  local survey data conducted in the Key Stone Project during 1996-1999 and additional survery in 2013. If there are some mis calculations or mis copying data in this report should be attribute to this author. Please refer  to original data for correctness.</t>
  </si>
  <si>
    <t xml:space="preserve">Error values are given in local XYZ coordinates only for the measurement in 1999. Thus error of topocentric coordinates is derived by coordinates transformation </t>
  </si>
  <si>
    <t xml:space="preserve">E </t>
  </si>
  <si>
    <t xml:space="preserve">X </t>
  </si>
  <si>
    <t xml:space="preserve">ITRF2014 </t>
  </si>
  <si>
    <t>sigma X</t>
  </si>
  <si>
    <t>sigma Y</t>
  </si>
  <si>
    <t xml:space="preserve"> sigma Z</t>
  </si>
  <si>
    <t>差分SG-LT</t>
  </si>
  <si>
    <t>Sigma</t>
  </si>
  <si>
    <t>差分SG-LT(1998)</t>
  </si>
  <si>
    <t>差分SG-LT(1999)</t>
  </si>
  <si>
    <t>差分SG-LT(2013)</t>
  </si>
  <si>
    <t>SLR1.5m</t>
  </si>
  <si>
    <t>Kog11-1.5m</t>
  </si>
  <si>
    <t>KGNI-SLR1.5m</t>
  </si>
  <si>
    <t>Kog11-SLR1.5m</t>
  </si>
  <si>
    <t>Kog11-SLR1.5</t>
  </si>
  <si>
    <t>KGNI-SLR1.5</t>
  </si>
  <si>
    <t>差分SG-LT(1997)</t>
  </si>
  <si>
    <t>Stdev</t>
  </si>
  <si>
    <t>Averaga</t>
  </si>
  <si>
    <t>Epoch</t>
  </si>
  <si>
    <t>SLR-S2</t>
  </si>
  <si>
    <t>Kog11-SLR-S2</t>
  </si>
  <si>
    <t>KGNI-SLR-S2</t>
  </si>
  <si>
    <t>IRTF2014</t>
  </si>
  <si>
    <t>差分SG-LT(1996)</t>
  </si>
  <si>
    <t>SLR1.5</t>
  </si>
  <si>
    <t>SLR1.5(ILRS)</t>
  </si>
  <si>
    <t>Kas11-SLR-S2</t>
  </si>
  <si>
    <t>KSMV-SLR-S2</t>
  </si>
  <si>
    <t>KSMV-SLR</t>
  </si>
  <si>
    <t>SLR-S2(RT)</t>
  </si>
  <si>
    <t>S2-S2</t>
  </si>
  <si>
    <t>Kas11-SLR-S2(RT)</t>
  </si>
  <si>
    <t>KSMV-SLR-S2(RT)</t>
  </si>
  <si>
    <t>Kog11-SLR-S2(RT)</t>
  </si>
  <si>
    <t>KGNI-SLR-S2(RT)</t>
  </si>
  <si>
    <t>VLBI-TGPS(SP)</t>
  </si>
  <si>
    <t>KSMV-SLR-S2(CCR)</t>
  </si>
  <si>
    <t>Kas11-SLR-S2(CCR)</t>
  </si>
  <si>
    <t>Kog11-SLR-S2(CCR)</t>
  </si>
  <si>
    <t>KGNI-SLR-S2(CCR)</t>
  </si>
  <si>
    <t>SLR1.5-SLR</t>
  </si>
  <si>
    <t>SLR1.5-SNR-S2(RT)</t>
  </si>
  <si>
    <t>SLR1.5m-SLR_S2(RT)</t>
  </si>
  <si>
    <t>SLR1.5-SLR_S2(RT)</t>
  </si>
  <si>
    <t>相対ベクトル</t>
  </si>
  <si>
    <t>XYZから座標変換により得られた局所座標系の相対ベクトル</t>
  </si>
  <si>
    <t>Eccentricity</t>
  </si>
  <si>
    <t>Eccentricity_SLR</t>
  </si>
  <si>
    <t>SLR_CP0-SLR_S2(RT)</t>
  </si>
  <si>
    <t>SLR-S2(CCR)</t>
  </si>
  <si>
    <t>S2(RT)-S2(CCR)</t>
  </si>
  <si>
    <t>CP0-S2(RT)</t>
  </si>
  <si>
    <t>XYZから座標変換により得られた局所座標系相対ベクトル</t>
  </si>
  <si>
    <t>XYZ相対ベクトル</t>
  </si>
  <si>
    <t>SLR Eccentricity</t>
  </si>
  <si>
    <t>SLR CP0-S2(RT)</t>
  </si>
  <si>
    <t>1997-1999,2013</t>
  </si>
  <si>
    <t>1996-1999</t>
  </si>
  <si>
    <t>1996-1999,2013</t>
  </si>
  <si>
    <t>domes Num.</t>
  </si>
  <si>
    <t>21701S007</t>
  </si>
  <si>
    <t>21701S002</t>
  </si>
  <si>
    <t>21701S006</t>
  </si>
  <si>
    <t>21701S004</t>
  </si>
  <si>
    <t>21704S002</t>
  </si>
  <si>
    <t>21704S005</t>
  </si>
  <si>
    <t>21704S004</t>
  </si>
  <si>
    <t xml:space="preserve">ITRF2020 Local tie submission </t>
  </si>
  <si>
    <t>Purpose:</t>
  </si>
  <si>
    <t>Domes Number</t>
  </si>
  <si>
    <t>Station:</t>
  </si>
  <si>
    <t>Kashima</t>
  </si>
  <si>
    <t>DOY</t>
  </si>
  <si>
    <t>Year</t>
  </si>
  <si>
    <t>CODE</t>
  </si>
  <si>
    <t>←Error was copied from 1999, because it is only given for this year</t>
  </si>
  <si>
    <t>KSMV</t>
  </si>
  <si>
    <t>Koganei</t>
  </si>
  <si>
    <t>SLR eccentricity</t>
  </si>
  <si>
    <t>ILRS</t>
  </si>
  <si>
    <t>ILRS Eccentricity</t>
  </si>
  <si>
    <t>ILRS Registered Eccentricity</t>
  </si>
  <si>
    <t xml:space="preserve">Local Tile Vector </t>
  </si>
  <si>
    <t>Site</t>
  </si>
  <si>
    <t>96:275</t>
  </si>
  <si>
    <t>KOGL</t>
  </si>
  <si>
    <t>Eccentricity vector</t>
  </si>
  <si>
    <t>97:275</t>
  </si>
  <si>
    <t>98:275</t>
  </si>
  <si>
    <t>99:305</t>
  </si>
  <si>
    <t>21704S006</t>
  </si>
  <si>
    <t>21701M002</t>
  </si>
  <si>
    <t>21704M001</t>
  </si>
  <si>
    <t>KASL</t>
  </si>
  <si>
    <t xml:space="preserve"> 21704S002</t>
  </si>
  <si>
    <t>Kas26-CP0</t>
  </si>
  <si>
    <t>-</t>
  </si>
  <si>
    <t>CDP</t>
  </si>
  <si>
    <t>21701S001</t>
  </si>
  <si>
    <t>測量成果データ</t>
  </si>
  <si>
    <t>XYZ 変換後</t>
  </si>
  <si>
    <t>Work space</t>
  </si>
  <si>
    <t>NEU-&gt;ENU</t>
  </si>
  <si>
    <t>Local Survery Results</t>
  </si>
  <si>
    <t xml:space="preserve">Domes Number </t>
  </si>
  <si>
    <t>測量結果のLocalTie ベクトルの確認</t>
  </si>
  <si>
    <t>Geoid gradient</t>
  </si>
  <si>
    <t>NS</t>
  </si>
  <si>
    <t>EW</t>
  </si>
  <si>
    <t>asec</t>
  </si>
  <si>
    <t>rad</t>
  </si>
  <si>
    <t>Miura</t>
  </si>
  <si>
    <t>Tateyama</t>
  </si>
  <si>
    <t>Geoid correction</t>
  </si>
  <si>
    <t>Station</t>
  </si>
  <si>
    <t>ジオイド補正後</t>
  </si>
  <si>
    <t>Kashim11</t>
  </si>
  <si>
    <t>Kashim34</t>
  </si>
  <si>
    <t>Lon</t>
  </si>
  <si>
    <t>lat</t>
  </si>
  <si>
    <t>H</t>
  </si>
  <si>
    <t>Koganei11</t>
  </si>
  <si>
    <t>局内原点</t>
  </si>
  <si>
    <t>SLR-S3</t>
  </si>
  <si>
    <t>kas11</t>
  </si>
  <si>
    <t>Kas34</t>
  </si>
  <si>
    <t>DomesNumber</t>
  </si>
  <si>
    <t>KASHIMA</t>
  </si>
  <si>
    <t xml:space="preserve">Difference </t>
  </si>
  <si>
    <t>Report-SelfComp</t>
  </si>
  <si>
    <t xml:space="preserve">Data 1996-1999 </t>
  </si>
  <si>
    <t>add err</t>
  </si>
  <si>
    <t>kog11</t>
  </si>
  <si>
    <t>SLR1.5-CP0</t>
  </si>
  <si>
    <t>SLR-TGPS</t>
  </si>
  <si>
    <t>←Error was copied from SLR error of 1999, because it is only given for this year</t>
  </si>
  <si>
    <t>13:252</t>
  </si>
  <si>
    <t>Data 1996-2013</t>
  </si>
  <si>
    <t>Miura11</t>
  </si>
  <si>
    <t>miura11</t>
  </si>
  <si>
    <t>21739S002</t>
  </si>
  <si>
    <t>MIUL</t>
  </si>
  <si>
    <t>Miu11-CP0</t>
  </si>
  <si>
    <t>21740S001</t>
  </si>
  <si>
    <t>21740S002</t>
  </si>
  <si>
    <t>21740M001</t>
  </si>
  <si>
    <t>21739M001</t>
  </si>
  <si>
    <t>21739S001</t>
  </si>
  <si>
    <t>GPS-Miu11</t>
  </si>
  <si>
    <t>GPS-SLR-S2(RT)</t>
  </si>
  <si>
    <t>miuanei</t>
  </si>
  <si>
    <t>整合性確認より</t>
  </si>
  <si>
    <t>Kas-S2</t>
  </si>
  <si>
    <t>Kog-S2</t>
  </si>
  <si>
    <t>Miu-S2</t>
  </si>
  <si>
    <t>Tat-S2</t>
  </si>
  <si>
    <t>H8-Err</t>
  </si>
  <si>
    <t>H9-Err</t>
  </si>
  <si>
    <t>H10-Err</t>
  </si>
  <si>
    <t>Miu11-SLR-S2(RT)</t>
  </si>
  <si>
    <t>Miu-CP0</t>
  </si>
  <si>
    <t>mm</t>
  </si>
  <si>
    <t>m</t>
  </si>
  <si>
    <t>kog-CP0</t>
  </si>
  <si>
    <t>kas-CP0</t>
  </si>
  <si>
    <t>tat-CP0</t>
  </si>
  <si>
    <t>←Error was copied from S2 err in 1999, because it is only given for this year</t>
  </si>
  <si>
    <t>←Error was copied from SLR 1999, because it is only given for this year</t>
  </si>
  <si>
    <t>Data 1996-1999</t>
  </si>
  <si>
    <t>Tateyama11</t>
  </si>
  <si>
    <t>TATL</t>
  </si>
  <si>
    <t>Tat11-CP0</t>
  </si>
  <si>
    <t>GPS-Tat11</t>
  </si>
  <si>
    <t>Tat11-SLR-S2(RT)</t>
  </si>
  <si>
    <t>KOGANEI</t>
  </si>
  <si>
    <t>MIURA</t>
  </si>
  <si>
    <t>TATEYAMA</t>
  </si>
  <si>
    <t>Site Reference Point  (SRP)</t>
  </si>
  <si>
    <t>Az/El axis cross point of SLR station of the site</t>
  </si>
  <si>
    <t>For the data of empty column,  the  measurement was not performed in that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</si>
</sst>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
    <numFmt numFmtId="166" formatCode="0.000"/>
    <numFmt numFmtId="167" formatCode="[$-411]ge\.m\.d;@"/>
    <numFmt numFmtId="168" formatCode="0.00000"/>
  </numFmts>
  <fonts count="12">
    <font>
      <sz val="11"/>
      <color theme="1"/>
      <name val="Calibri"/>
      <family val="2"/>
      <charset val="128"/>
      <scheme val="minor"/>
    </font>
    <font>
      <b/>
      <sz val="11"/>
      <color theme="1"/>
      <name val="Calibri"/>
      <family val="2"/>
      <scheme val="minor"/>
    </font>
    <font>
      <sz val="12"/>
      <color theme="1"/>
      <name val="Calibri"/>
      <family val="2"/>
      <charset val="128"/>
      <scheme val="minor"/>
    </font>
    <font>
      <sz val="14"/>
      <color theme="1"/>
      <name val="Calibri"/>
      <family val="2"/>
      <charset val="128"/>
      <scheme val="minor"/>
    </font>
    <font>
      <sz val="16"/>
      <color theme="1"/>
      <name val="Calibri"/>
      <family val="2"/>
      <charset val="128"/>
      <scheme val="minor"/>
    </font>
    <font>
      <sz val="11"/>
      <color theme="1"/>
      <name val="Calibri"/>
      <family val="2"/>
      <scheme val="minor"/>
    </font>
    <font>
      <b/>
      <i/>
      <sz val="11"/>
      <color theme="1"/>
      <name val="Calibri"/>
      <family val="2"/>
      <scheme val="minor"/>
    </font>
    <font>
      <sz val="10"/>
      <color theme="1"/>
      <name val="Calibri"/>
      <family val="2"/>
      <charset val="128"/>
      <scheme val="minor"/>
    </font>
    <font>
      <sz val="10"/>
      <color theme="1"/>
      <name val="Arial Unicode MS"/>
      <family val="3"/>
      <charset val="128"/>
    </font>
    <font>
      <b/>
      <sz val="14"/>
      <color theme="9" tint="-0.499984740745262"/>
      <name val="Calibri"/>
      <family val="2"/>
      <scheme val="minor"/>
    </font>
    <font>
      <b/>
      <sz val="12"/>
      <color theme="1"/>
      <name val="Calibri"/>
      <family val="2"/>
      <scheme val="minor"/>
    </font>
    <font>
      <b/>
      <sz val="11"/>
      <color rgb="FF0070C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7" tint="0.39997558519241921"/>
        <bgColor indexed="64"/>
      </patternFill>
    </fill>
    <fill>
      <patternFill patternType="solid">
        <fgColor theme="7" tint="0.59999389629810485"/>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1">
    <xf numFmtId="0" fontId="0" fillId="0" borderId="0"/>
  </cellStyleXfs>
  <cellXfs count="369">
    <xf numFmtId="0" fontId="0" fillId="0" borderId="0" xfId="0"/>
    <xf numFmtId="164" fontId="0" fillId="0" borderId="0" xfId="0" applyNumberFormat="1"/>
    <xf numFmtId="0" fontId="0" fillId="0" borderId="1" xfId="0" applyBorder="1"/>
    <xf numFmtId="165" fontId="0" fillId="0" borderId="0" xfId="0" applyNumberFormat="1"/>
    <xf numFmtId="0" fontId="0" fillId="0" borderId="1" xfId="0" applyBorder="1" applyAlignment="1">
      <alignment horizontal="center"/>
    </xf>
    <xf numFmtId="164" fontId="0" fillId="0" borderId="1" xfId="0" applyNumberFormat="1" applyBorder="1" applyAlignment="1">
      <alignment horizontal="center"/>
    </xf>
    <xf numFmtId="164" fontId="0" fillId="0" borderId="1" xfId="0" applyNumberFormat="1" applyBorder="1"/>
    <xf numFmtId="0" fontId="0" fillId="0" borderId="0" xfId="0" applyBorder="1"/>
    <xf numFmtId="164" fontId="0" fillId="0" borderId="0" xfId="0" applyNumberFormat="1" applyBorder="1"/>
    <xf numFmtId="0" fontId="0" fillId="0" borderId="0" xfId="0"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xf>
    <xf numFmtId="0" fontId="0" fillId="0" borderId="1" xfId="0" applyBorder="1" applyAlignment="1">
      <alignment horizontal="center"/>
    </xf>
    <xf numFmtId="0" fontId="0" fillId="0" borderId="0" xfId="0" applyAlignment="1">
      <alignment horizontal="center"/>
    </xf>
    <xf numFmtId="165" fontId="0" fillId="0" borderId="1" xfId="0" applyNumberFormat="1" applyBorder="1"/>
    <xf numFmtId="164" fontId="0" fillId="0" borderId="3" xfId="0" applyNumberFormat="1" applyBorder="1"/>
    <xf numFmtId="165" fontId="0" fillId="0" borderId="0" xfId="0" applyNumberFormat="1"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165" fontId="0" fillId="0" borderId="5" xfId="0" applyNumberFormat="1" applyBorder="1"/>
    <xf numFmtId="165" fontId="0" fillId="0" borderId="6" xfId="0" applyNumberFormat="1" applyBorder="1"/>
    <xf numFmtId="165" fontId="0" fillId="0" borderId="7" xfId="0" applyNumberFormat="1" applyBorder="1"/>
    <xf numFmtId="165" fontId="0" fillId="0" borderId="8" xfId="0" applyNumberFormat="1" applyBorder="1"/>
    <xf numFmtId="165" fontId="0" fillId="0" borderId="10" xfId="0" applyNumberFormat="1" applyBorder="1"/>
    <xf numFmtId="165" fontId="0" fillId="0" borderId="11" xfId="0" applyNumberFormat="1" applyBorder="1"/>
    <xf numFmtId="0" fontId="0" fillId="0" borderId="0" xfId="0" applyFill="1" applyBorder="1"/>
    <xf numFmtId="0" fontId="0" fillId="0" borderId="13" xfId="0" applyBorder="1"/>
    <xf numFmtId="0" fontId="0" fillId="0" borderId="15" xfId="0" applyBorder="1"/>
    <xf numFmtId="0" fontId="0" fillId="0" borderId="17" xfId="0" applyBorder="1"/>
    <xf numFmtId="0" fontId="0" fillId="0" borderId="18" xfId="0" applyBorder="1"/>
    <xf numFmtId="0" fontId="0" fillId="0" borderId="20" xfId="0" applyBorder="1"/>
    <xf numFmtId="166" fontId="0" fillId="0" borderId="1" xfId="0" applyNumberFormat="1" applyBorder="1"/>
    <xf numFmtId="0" fontId="0" fillId="0" borderId="21" xfId="0" applyBorder="1"/>
    <xf numFmtId="165" fontId="0" fillId="0" borderId="22" xfId="0" applyNumberFormat="1" applyBorder="1"/>
    <xf numFmtId="0" fontId="0" fillId="0" borderId="22" xfId="0" applyBorder="1"/>
    <xf numFmtId="0" fontId="0" fillId="0" borderId="23" xfId="0" applyBorder="1"/>
    <xf numFmtId="165" fontId="0" fillId="0" borderId="24" xfId="0" applyNumberFormat="1" applyBorder="1"/>
    <xf numFmtId="0" fontId="0" fillId="0" borderId="24" xfId="0" applyBorder="1"/>
    <xf numFmtId="165" fontId="0" fillId="0" borderId="4" xfId="0" applyNumberFormat="1" applyBorder="1"/>
    <xf numFmtId="165" fontId="0" fillId="0" borderId="9" xfId="0" applyNumberFormat="1" applyBorder="1"/>
    <xf numFmtId="0" fontId="0" fillId="0" borderId="25" xfId="0" applyBorder="1"/>
    <xf numFmtId="165" fontId="0" fillId="0" borderId="26" xfId="0" applyNumberFormat="1" applyBorder="1"/>
    <xf numFmtId="0" fontId="0" fillId="0" borderId="26" xfId="0" applyBorder="1"/>
    <xf numFmtId="0" fontId="0" fillId="0" borderId="27" xfId="0" applyBorder="1"/>
    <xf numFmtId="165" fontId="0" fillId="0" borderId="3" xfId="0" applyNumberFormat="1" applyBorder="1"/>
    <xf numFmtId="165" fontId="0" fillId="0" borderId="28" xfId="0" applyNumberFormat="1" applyBorder="1"/>
    <xf numFmtId="165" fontId="0" fillId="0" borderId="29" xfId="0" applyNumberFormat="1" applyBorder="1"/>
    <xf numFmtId="0" fontId="0" fillId="0" borderId="2" xfId="0" applyBorder="1"/>
    <xf numFmtId="0" fontId="0" fillId="0" borderId="30" xfId="0" applyBorder="1"/>
    <xf numFmtId="164" fontId="0" fillId="0" borderId="30" xfId="0" applyNumberFormat="1" applyBorder="1"/>
    <xf numFmtId="0" fontId="0" fillId="0" borderId="3" xfId="0" applyBorder="1"/>
    <xf numFmtId="165" fontId="0" fillId="0" borderId="31" xfId="0" applyNumberFormat="1" applyBorder="1"/>
    <xf numFmtId="165" fontId="0" fillId="0" borderId="12" xfId="0" applyNumberFormat="1" applyBorder="1"/>
    <xf numFmtId="0" fontId="1" fillId="0" borderId="0" xfId="0" applyFont="1"/>
    <xf numFmtId="0" fontId="0" fillId="0" borderId="32" xfId="0" applyBorder="1"/>
    <xf numFmtId="0" fontId="1" fillId="0" borderId="2" xfId="0" applyFont="1" applyBorder="1"/>
    <xf numFmtId="0" fontId="1" fillId="0" borderId="0" xfId="0" applyFont="1" applyBorder="1"/>
    <xf numFmtId="166" fontId="0" fillId="0" borderId="30" xfId="0" applyNumberFormat="1" applyBorder="1"/>
    <xf numFmtId="166" fontId="0" fillId="0" borderId="3" xfId="0" applyNumberFormat="1" applyBorder="1"/>
    <xf numFmtId="0" fontId="0" fillId="0" borderId="33" xfId="0" applyBorder="1"/>
    <xf numFmtId="0" fontId="0" fillId="0" borderId="31" xfId="0" applyBorder="1"/>
    <xf numFmtId="0" fontId="0" fillId="0" borderId="35" xfId="0" applyBorder="1"/>
    <xf numFmtId="0" fontId="0" fillId="0" borderId="36" xfId="0" applyBorder="1"/>
    <xf numFmtId="0" fontId="0" fillId="0" borderId="29" xfId="0" applyBorder="1"/>
    <xf numFmtId="0" fontId="0" fillId="0" borderId="38" xfId="0" applyBorder="1"/>
    <xf numFmtId="0" fontId="3" fillId="0" borderId="0" xfId="0" applyFont="1"/>
    <xf numFmtId="0" fontId="3" fillId="0" borderId="0" xfId="0" applyFont="1" applyFill="1" applyBorder="1"/>
    <xf numFmtId="0" fontId="3" fillId="0" borderId="0" xfId="0" applyFont="1" applyAlignment="1">
      <alignment horizontal="left" vertical="center"/>
    </xf>
    <xf numFmtId="0" fontId="6" fillId="0" borderId="0" xfId="0" applyFont="1" applyAlignment="1">
      <alignment horizontal="right"/>
    </xf>
    <xf numFmtId="166" fontId="0" fillId="0" borderId="24" xfId="0" applyNumberFormat="1" applyBorder="1"/>
    <xf numFmtId="0" fontId="0" fillId="0" borderId="41" xfId="0" applyBorder="1"/>
    <xf numFmtId="164" fontId="0" fillId="0" borderId="22" xfId="0" applyNumberFormat="1" applyBorder="1"/>
    <xf numFmtId="164" fontId="0" fillId="0" borderId="31" xfId="0" applyNumberFormat="1" applyBorder="1"/>
    <xf numFmtId="0" fontId="0" fillId="0" borderId="43" xfId="0" applyBorder="1"/>
    <xf numFmtId="0" fontId="1" fillId="0" borderId="42" xfId="0" applyFont="1" applyBorder="1"/>
    <xf numFmtId="0" fontId="0" fillId="0" borderId="44" xfId="0" applyBorder="1"/>
    <xf numFmtId="0" fontId="0" fillId="0" borderId="42" xfId="0" applyBorder="1"/>
    <xf numFmtId="0" fontId="0" fillId="0" borderId="45" xfId="0" applyBorder="1"/>
    <xf numFmtId="0" fontId="1" fillId="0" borderId="43" xfId="0" applyFont="1" applyBorder="1"/>
    <xf numFmtId="0" fontId="1" fillId="0" borderId="31" xfId="0" applyFont="1" applyBorder="1"/>
    <xf numFmtId="0" fontId="3" fillId="0" borderId="12" xfId="0" applyFont="1" applyFill="1" applyBorder="1"/>
    <xf numFmtId="164" fontId="0" fillId="0" borderId="8" xfId="0" applyNumberFormat="1" applyBorder="1"/>
    <xf numFmtId="164" fontId="0" fillId="0" borderId="10" xfId="0" applyNumberFormat="1" applyBorder="1"/>
    <xf numFmtId="164" fontId="0" fillId="0" borderId="11" xfId="0" applyNumberFormat="1" applyBorder="1"/>
    <xf numFmtId="166" fontId="0" fillId="0" borderId="4" xfId="0" applyNumberFormat="1" applyBorder="1"/>
    <xf numFmtId="166" fontId="0" fillId="0" borderId="5" xfId="0" applyNumberFormat="1" applyBorder="1"/>
    <xf numFmtId="166" fontId="0" fillId="0" borderId="6" xfId="0" applyNumberFormat="1" applyBorder="1"/>
    <xf numFmtId="166" fontId="0" fillId="0" borderId="7" xfId="0" applyNumberFormat="1" applyBorder="1"/>
    <xf numFmtId="166" fontId="0" fillId="0" borderId="8" xfId="0" applyNumberFormat="1" applyBorder="1"/>
    <xf numFmtId="166" fontId="0" fillId="0" borderId="9" xfId="0" applyNumberFormat="1" applyBorder="1"/>
    <xf numFmtId="166" fontId="0" fillId="0" borderId="10" xfId="0" applyNumberFormat="1" applyBorder="1"/>
    <xf numFmtId="166" fontId="0" fillId="0" borderId="11" xfId="0" applyNumberFormat="1" applyBorder="1"/>
    <xf numFmtId="2" fontId="0" fillId="0" borderId="0" xfId="0" applyNumberFormat="1"/>
    <xf numFmtId="0" fontId="0" fillId="0" borderId="46" xfId="0" applyBorder="1"/>
    <xf numFmtId="164" fontId="0" fillId="0" borderId="7" xfId="0" applyNumberFormat="1" applyBorder="1"/>
    <xf numFmtId="164" fontId="0" fillId="0" borderId="9" xfId="0" applyNumberFormat="1" applyBorder="1"/>
    <xf numFmtId="164" fontId="0" fillId="0" borderId="28" xfId="0" applyNumberFormat="1" applyBorder="1"/>
    <xf numFmtId="165" fontId="0" fillId="0" borderId="36" xfId="0" applyNumberFormat="1" applyBorder="1"/>
    <xf numFmtId="165" fontId="0" fillId="0" borderId="37" xfId="0" applyNumberFormat="1" applyBorder="1"/>
    <xf numFmtId="0" fontId="0" fillId="0" borderId="0" xfId="0" applyBorder="1" applyAlignment="1">
      <alignment horizontal="center"/>
    </xf>
    <xf numFmtId="0" fontId="0" fillId="0" borderId="1" xfId="0" applyBorder="1" applyAlignment="1">
      <alignment horizontal="center"/>
    </xf>
    <xf numFmtId="0" fontId="3" fillId="0" borderId="4" xfId="0" applyFont="1" applyFill="1" applyBorder="1"/>
    <xf numFmtId="0" fontId="0" fillId="0" borderId="47" xfId="0" applyBorder="1"/>
    <xf numFmtId="165" fontId="0" fillId="0" borderId="32" xfId="0" applyNumberFormat="1" applyBorder="1"/>
    <xf numFmtId="165" fontId="0" fillId="0" borderId="48" xfId="0" applyNumberFormat="1" applyBorder="1"/>
    <xf numFmtId="164" fontId="0" fillId="0" borderId="29" xfId="0" applyNumberFormat="1" applyBorder="1"/>
    <xf numFmtId="165" fontId="0" fillId="0" borderId="47" xfId="0" applyNumberFormat="1" applyBorder="1"/>
    <xf numFmtId="0" fontId="0" fillId="0" borderId="32" xfId="0" applyBorder="1" applyAlignment="1">
      <alignment horizontal="center" vertical="center"/>
    </xf>
    <xf numFmtId="165" fontId="0" fillId="0" borderId="32" xfId="0" applyNumberForma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7" xfId="0" applyBorder="1" applyAlignment="1">
      <alignment horizontal="center" vertical="center"/>
    </xf>
    <xf numFmtId="165" fontId="0" fillId="0" borderId="48" xfId="0" applyNumberFormat="1" applyBorder="1" applyAlignment="1">
      <alignment horizontal="center" vertical="center"/>
    </xf>
    <xf numFmtId="165" fontId="0" fillId="0" borderId="0" xfId="0" applyNumberFormat="1" applyBorder="1" applyAlignment="1">
      <alignment horizontal="center"/>
    </xf>
    <xf numFmtId="0" fontId="7" fillId="0" borderId="0" xfId="0" applyFont="1"/>
    <xf numFmtId="165" fontId="7" fillId="0" borderId="3" xfId="0" applyNumberFormat="1" applyFont="1" applyBorder="1"/>
    <xf numFmtId="165" fontId="7" fillId="0" borderId="28" xfId="0" applyNumberFormat="1" applyFont="1" applyBorder="1"/>
    <xf numFmtId="0" fontId="7" fillId="0" borderId="24" xfId="0" applyFont="1" applyBorder="1"/>
    <xf numFmtId="165" fontId="7" fillId="0" borderId="1" xfId="0" applyNumberFormat="1" applyFont="1" applyBorder="1"/>
    <xf numFmtId="165" fontId="7" fillId="0" borderId="8" xfId="0" applyNumberFormat="1" applyFont="1" applyBorder="1"/>
    <xf numFmtId="165" fontId="7" fillId="0" borderId="10" xfId="0" applyNumberFormat="1" applyFont="1" applyBorder="1"/>
    <xf numFmtId="165" fontId="7" fillId="0" borderId="11" xfId="0" applyNumberFormat="1" applyFont="1" applyBorder="1"/>
    <xf numFmtId="165" fontId="7" fillId="0" borderId="24" xfId="0" applyNumberFormat="1" applyFont="1" applyBorder="1"/>
    <xf numFmtId="165" fontId="7" fillId="0" borderId="0" xfId="0" applyNumberFormat="1" applyFont="1" applyBorder="1"/>
    <xf numFmtId="165" fontId="7" fillId="0" borderId="0" xfId="0" applyNumberFormat="1" applyFont="1"/>
    <xf numFmtId="0" fontId="7" fillId="0" borderId="1" xfId="0" applyFont="1" applyBorder="1"/>
    <xf numFmtId="164" fontId="7" fillId="0" borderId="3" xfId="0" applyNumberFormat="1" applyFont="1" applyBorder="1"/>
    <xf numFmtId="164" fontId="7" fillId="0" borderId="1" xfId="0" applyNumberFormat="1" applyFont="1" applyBorder="1"/>
    <xf numFmtId="0" fontId="7" fillId="0" borderId="0" xfId="0" applyFont="1" applyBorder="1"/>
    <xf numFmtId="0" fontId="0" fillId="0" borderId="51" xfId="0" applyBorder="1"/>
    <xf numFmtId="0" fontId="0" fillId="0" borderId="53" xfId="0" applyBorder="1"/>
    <xf numFmtId="165" fontId="0" fillId="0" borderId="54" xfId="0" applyNumberFormat="1" applyBorder="1"/>
    <xf numFmtId="165" fontId="0" fillId="0" borderId="30" xfId="0" applyNumberFormat="1" applyBorder="1"/>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horizontal="center"/>
    </xf>
    <xf numFmtId="165" fontId="0" fillId="0" borderId="54" xfId="0" applyNumberFormat="1" applyFill="1" applyBorder="1"/>
    <xf numFmtId="0" fontId="0" fillId="0" borderId="43" xfId="0" applyFill="1" applyBorder="1"/>
    <xf numFmtId="0" fontId="0" fillId="0" borderId="54" xfId="0" applyFill="1" applyBorder="1"/>
    <xf numFmtId="167" fontId="0" fillId="0" borderId="0" xfId="0" applyNumberFormat="1"/>
    <xf numFmtId="0" fontId="0" fillId="0" borderId="0" xfId="0" applyAlignment="1">
      <alignment vertical="center"/>
    </xf>
    <xf numFmtId="0" fontId="8" fillId="0" borderId="0" xfId="0" applyFont="1" applyAlignment="1">
      <alignment vertical="center"/>
    </xf>
    <xf numFmtId="0" fontId="0" fillId="0" borderId="55" xfId="0" applyFill="1" applyBorder="1"/>
    <xf numFmtId="165" fontId="7" fillId="0" borderId="22" xfId="0" applyNumberFormat="1" applyFont="1" applyBorder="1"/>
    <xf numFmtId="164" fontId="7" fillId="0" borderId="22" xfId="0" applyNumberFormat="1" applyFont="1" applyBorder="1"/>
    <xf numFmtId="165" fontId="0" fillId="0" borderId="1" xfId="0" applyNumberFormat="1" applyBorder="1" applyAlignment="1">
      <alignment horizontal="center" vertical="center"/>
    </xf>
    <xf numFmtId="165" fontId="7" fillId="0" borderId="1" xfId="0" applyNumberFormat="1" applyFont="1" applyBorder="1" applyAlignment="1">
      <alignment horizontal="center" vertical="center"/>
    </xf>
    <xf numFmtId="165" fontId="7" fillId="0" borderId="1" xfId="0" applyNumberFormat="1" applyFont="1" applyFill="1" applyBorder="1" applyAlignment="1">
      <alignment horizontal="center" vertical="center"/>
    </xf>
    <xf numFmtId="0" fontId="0" fillId="0" borderId="1" xfId="0" applyBorder="1" applyAlignment="1">
      <alignment vertical="center"/>
    </xf>
    <xf numFmtId="164" fontId="0" fillId="0" borderId="1" xfId="0" applyNumberFormat="1" applyBorder="1" applyAlignment="1">
      <alignment vertical="center"/>
    </xf>
    <xf numFmtId="0" fontId="0" fillId="0" borderId="0" xfId="0" applyAlignment="1">
      <alignment horizontal="center"/>
    </xf>
    <xf numFmtId="164" fontId="7" fillId="0" borderId="0" xfId="0" applyNumberFormat="1" applyFont="1" applyBorder="1"/>
    <xf numFmtId="165" fontId="7" fillId="0" borderId="30" xfId="0" applyNumberFormat="1" applyFont="1" applyBorder="1"/>
    <xf numFmtId="0" fontId="7" fillId="0" borderId="30" xfId="0" applyFont="1" applyBorder="1"/>
    <xf numFmtId="0" fontId="0" fillId="0" borderId="1" xfId="0" applyFill="1" applyBorder="1"/>
    <xf numFmtId="0" fontId="0" fillId="0" borderId="0" xfId="0" applyAlignment="1">
      <alignment horizontal="center"/>
    </xf>
    <xf numFmtId="0" fontId="0" fillId="2" borderId="1" xfId="0" applyFill="1" applyBorder="1" applyAlignment="1">
      <alignment vertical="center"/>
    </xf>
    <xf numFmtId="164" fontId="0" fillId="2" borderId="1" xfId="0" applyNumberFormat="1" applyFill="1" applyBorder="1" applyAlignment="1">
      <alignment vertical="center"/>
    </xf>
    <xf numFmtId="0" fontId="0" fillId="2" borderId="0" xfId="0" applyFill="1" applyAlignment="1">
      <alignment vertical="center"/>
    </xf>
    <xf numFmtId="0" fontId="0" fillId="2" borderId="1" xfId="0" applyFill="1" applyBorder="1" applyAlignment="1">
      <alignment horizontal="center" vertical="center"/>
    </xf>
    <xf numFmtId="0" fontId="0" fillId="0" borderId="0" xfId="0" applyAlignment="1">
      <alignment horizontal="center"/>
    </xf>
    <xf numFmtId="0" fontId="0" fillId="0" borderId="6" xfId="0" applyBorder="1" applyAlignment="1">
      <alignment horizontal="center"/>
    </xf>
    <xf numFmtId="0" fontId="0" fillId="2" borderId="1" xfId="0" applyFill="1" applyBorder="1"/>
    <xf numFmtId="164" fontId="0" fillId="2" borderId="1" xfId="0" applyNumberFormat="1" applyFill="1" applyBorder="1"/>
    <xf numFmtId="0" fontId="0" fillId="2" borderId="0" xfId="0" applyFill="1"/>
    <xf numFmtId="0" fontId="0" fillId="2" borderId="54" xfId="0" applyFill="1" applyBorder="1" applyAlignment="1">
      <alignment vertical="center"/>
    </xf>
    <xf numFmtId="0" fontId="0" fillId="0" borderId="0" xfId="0" applyBorder="1" applyAlignment="1">
      <alignment vertical="center"/>
    </xf>
    <xf numFmtId="164" fontId="0" fillId="0" borderId="0" xfId="0" applyNumberFormat="1" applyBorder="1" applyAlignment="1">
      <alignment vertical="center"/>
    </xf>
    <xf numFmtId="0" fontId="0" fillId="0" borderId="0" xfId="0" applyBorder="1" applyAlignment="1">
      <alignment horizontal="center" vertical="center"/>
    </xf>
    <xf numFmtId="165" fontId="0" fillId="2" borderId="7" xfId="0" applyNumberFormat="1" applyFill="1" applyBorder="1"/>
    <xf numFmtId="0" fontId="0" fillId="2" borderId="7" xfId="0" applyFill="1" applyBorder="1"/>
    <xf numFmtId="165" fontId="0" fillId="2" borderId="9" xfId="0" applyNumberFormat="1" applyFill="1" applyBorder="1"/>
    <xf numFmtId="0" fontId="9" fillId="0" borderId="0" xfId="0" applyFont="1"/>
    <xf numFmtId="0" fontId="0" fillId="0" borderId="56" xfId="0" applyFill="1" applyBorder="1"/>
    <xf numFmtId="0" fontId="0" fillId="0" borderId="9" xfId="0" applyFill="1" applyBorder="1"/>
    <xf numFmtId="165" fontId="0" fillId="0" borderId="2" xfId="0" applyNumberFormat="1" applyBorder="1"/>
    <xf numFmtId="0" fontId="9" fillId="0" borderId="52" xfId="0" applyFont="1" applyBorder="1"/>
    <xf numFmtId="0" fontId="0" fillId="0" borderId="12" xfId="0" applyBorder="1" applyAlignment="1">
      <alignment vertical="center"/>
    </xf>
    <xf numFmtId="165" fontId="7" fillId="0" borderId="8" xfId="0" applyNumberFormat="1" applyFont="1" applyFill="1" applyBorder="1" applyAlignment="1">
      <alignment horizontal="center" vertical="center"/>
    </xf>
    <xf numFmtId="164" fontId="0" fillId="2" borderId="10" xfId="0" applyNumberFormat="1" applyFill="1" applyBorder="1" applyAlignment="1">
      <alignment vertical="center"/>
    </xf>
    <xf numFmtId="0" fontId="0" fillId="2" borderId="18" xfId="0" applyFill="1" applyBorder="1" applyAlignment="1">
      <alignment vertical="center"/>
    </xf>
    <xf numFmtId="0" fontId="0" fillId="2" borderId="11" xfId="0" applyFill="1" applyBorder="1" applyAlignment="1">
      <alignment horizontal="center" vertical="center"/>
    </xf>
    <xf numFmtId="164" fontId="0" fillId="2" borderId="10" xfId="0" applyNumberFormat="1" applyFill="1" applyBorder="1"/>
    <xf numFmtId="0" fontId="0" fillId="2" borderId="18" xfId="0" applyFill="1" applyBorder="1"/>
    <xf numFmtId="0" fontId="0" fillId="2" borderId="11" xfId="0" applyFill="1" applyBorder="1"/>
    <xf numFmtId="0" fontId="0" fillId="0" borderId="1" xfId="0" applyBorder="1" applyAlignment="1">
      <alignment horizontal="center" vertical="center"/>
    </xf>
    <xf numFmtId="164" fontId="0" fillId="0" borderId="1" xfId="0" applyNumberFormat="1" applyBorder="1" applyAlignment="1">
      <alignment horizontal="center"/>
    </xf>
    <xf numFmtId="0" fontId="0" fillId="0" borderId="0"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horizontal="center"/>
    </xf>
    <xf numFmtId="165" fontId="0" fillId="0" borderId="1" xfId="0" applyNumberFormat="1" applyBorder="1" applyAlignment="1">
      <alignment horizontal="center"/>
    </xf>
    <xf numFmtId="165" fontId="0" fillId="0" borderId="24" xfId="0" applyNumberFormat="1" applyBorder="1" applyAlignment="1">
      <alignment horizontal="center"/>
    </xf>
    <xf numFmtId="0" fontId="0" fillId="0" borderId="3" xfId="0" applyBorder="1" applyAlignment="1">
      <alignment horizontal="center"/>
    </xf>
    <xf numFmtId="1" fontId="0" fillId="0" borderId="0" xfId="0" applyNumberFormat="1" applyAlignment="1">
      <alignment horizontal="center" vertical="center"/>
    </xf>
    <xf numFmtId="1" fontId="0" fillId="0" borderId="1" xfId="0" applyNumberFormat="1" applyBorder="1" applyAlignment="1">
      <alignment horizontal="center" vertical="center"/>
    </xf>
    <xf numFmtId="1" fontId="0" fillId="0" borderId="1" xfId="0" applyNumberFormat="1" applyFill="1" applyBorder="1" applyAlignment="1">
      <alignment horizontal="center" vertical="center"/>
    </xf>
    <xf numFmtId="165" fontId="0" fillId="0" borderId="1" xfId="0" applyNumberFormat="1" applyFill="1" applyBorder="1" applyAlignment="1">
      <alignment horizontal="center" vertical="center"/>
    </xf>
    <xf numFmtId="0" fontId="0" fillId="0" borderId="0" xfId="0" applyBorder="1" applyAlignment="1">
      <alignment horizontal="left" vertical="center"/>
    </xf>
    <xf numFmtId="0" fontId="0" fillId="0" borderId="16" xfId="0" applyBorder="1" applyAlignment="1">
      <alignment horizontal="left" vertical="center"/>
    </xf>
    <xf numFmtId="164" fontId="0" fillId="0" borderId="20" xfId="0" applyNumberFormat="1" applyBorder="1"/>
    <xf numFmtId="1" fontId="0" fillId="0" borderId="20" xfId="0" applyNumberFormat="1" applyBorder="1" applyAlignment="1">
      <alignment horizontal="center" vertical="center"/>
    </xf>
    <xf numFmtId="0" fontId="0" fillId="0" borderId="20" xfId="0" applyBorder="1" applyAlignment="1">
      <alignment horizontal="center" vertical="center"/>
    </xf>
    <xf numFmtId="165" fontId="0" fillId="2" borderId="1" xfId="0" applyNumberFormat="1" applyFill="1" applyBorder="1"/>
    <xf numFmtId="164" fontId="7" fillId="2" borderId="1" xfId="0" applyNumberFormat="1" applyFont="1" applyFill="1" applyBorder="1"/>
    <xf numFmtId="0" fontId="0" fillId="2" borderId="54" xfId="0" applyFill="1" applyBorder="1"/>
    <xf numFmtId="0" fontId="0" fillId="2" borderId="0" xfId="0" applyFill="1" applyBorder="1"/>
    <xf numFmtId="165" fontId="0" fillId="2" borderId="0" xfId="0" applyNumberFormat="1" applyFill="1" applyBorder="1"/>
    <xf numFmtId="164" fontId="0" fillId="0" borderId="2" xfId="0" applyNumberFormat="1" applyBorder="1"/>
    <xf numFmtId="164" fontId="0" fillId="0" borderId="44" xfId="0" applyNumberFormat="1" applyBorder="1"/>
    <xf numFmtId="164" fontId="0" fillId="0" borderId="32" xfId="0" applyNumberFormat="1" applyBorder="1"/>
    <xf numFmtId="164" fontId="7" fillId="0" borderId="32" xfId="0" applyNumberFormat="1" applyFont="1" applyBorder="1"/>
    <xf numFmtId="165" fontId="7" fillId="0" borderId="32" xfId="0" applyNumberFormat="1" applyFont="1" applyBorder="1"/>
    <xf numFmtId="1" fontId="0" fillId="0" borderId="32" xfId="0" applyNumberFormat="1" applyBorder="1" applyAlignment="1">
      <alignment horizontal="center" vertical="center"/>
    </xf>
    <xf numFmtId="1" fontId="0" fillId="0" borderId="3" xfId="0" applyNumberFormat="1" applyFill="1" applyBorder="1" applyAlignment="1">
      <alignment horizontal="center" vertical="center"/>
    </xf>
    <xf numFmtId="165" fontId="0" fillId="0" borderId="3" xfId="0" applyNumberFormat="1" applyFill="1" applyBorder="1" applyAlignment="1">
      <alignment horizontal="center" vertical="center"/>
    </xf>
    <xf numFmtId="165" fontId="0" fillId="0" borderId="9" xfId="0" applyNumberFormat="1" applyFill="1" applyBorder="1"/>
    <xf numFmtId="165" fontId="0" fillId="0" borderId="20" xfId="0" applyNumberFormat="1" applyBorder="1"/>
    <xf numFmtId="165" fontId="7" fillId="0" borderId="20" xfId="0" applyNumberFormat="1" applyFont="1" applyBorder="1"/>
    <xf numFmtId="0" fontId="7" fillId="0" borderId="20" xfId="0" applyFont="1" applyBorder="1"/>
    <xf numFmtId="164" fontId="0" fillId="0" borderId="0" xfId="0" applyNumberFormat="1" applyAlignment="1">
      <alignment horizontal="center" vertical="center"/>
    </xf>
    <xf numFmtId="0" fontId="5" fillId="0" borderId="0" xfId="0" applyFont="1"/>
    <xf numFmtId="0" fontId="5" fillId="2" borderId="0" xfId="0" applyFont="1" applyFill="1"/>
    <xf numFmtId="0" fontId="5" fillId="0" borderId="0" xfId="0" applyFont="1" applyBorder="1"/>
    <xf numFmtId="0" fontId="5" fillId="0" borderId="20" xfId="0" applyFont="1" applyBorder="1"/>
    <xf numFmtId="164" fontId="5" fillId="0" borderId="0" xfId="0" applyNumberFormat="1" applyFont="1"/>
    <xf numFmtId="0" fontId="5" fillId="2" borderId="1" xfId="0" applyFont="1" applyFill="1" applyBorder="1"/>
    <xf numFmtId="0" fontId="5" fillId="0" borderId="1" xfId="0" applyFont="1" applyBorder="1"/>
    <xf numFmtId="165" fontId="10" fillId="0" borderId="0" xfId="0" applyNumberFormat="1" applyFont="1"/>
    <xf numFmtId="0" fontId="10" fillId="0" borderId="0" xfId="0" applyFont="1"/>
    <xf numFmtId="165" fontId="0" fillId="3" borderId="4" xfId="0" applyNumberFormat="1" applyFill="1" applyBorder="1"/>
    <xf numFmtId="165" fontId="7" fillId="3" borderId="5" xfId="0" applyNumberFormat="1" applyFont="1" applyFill="1" applyBorder="1"/>
    <xf numFmtId="165" fontId="7" fillId="3" borderId="6" xfId="0" applyNumberFormat="1" applyFont="1" applyFill="1" applyBorder="1"/>
    <xf numFmtId="165" fontId="0" fillId="3" borderId="7" xfId="0" applyNumberFormat="1" applyFill="1" applyBorder="1"/>
    <xf numFmtId="165" fontId="7" fillId="3" borderId="1" xfId="0" applyNumberFormat="1" applyFont="1" applyFill="1" applyBorder="1"/>
    <xf numFmtId="165" fontId="7" fillId="3" borderId="8" xfId="0" applyNumberFormat="1" applyFont="1" applyFill="1" applyBorder="1"/>
    <xf numFmtId="165" fontId="0" fillId="3" borderId="9" xfId="0" applyNumberFormat="1" applyFill="1" applyBorder="1"/>
    <xf numFmtId="165" fontId="7" fillId="3" borderId="10" xfId="0" applyNumberFormat="1" applyFont="1" applyFill="1" applyBorder="1"/>
    <xf numFmtId="165" fontId="7" fillId="3" borderId="11" xfId="0" applyNumberFormat="1" applyFont="1" applyFill="1" applyBorder="1"/>
    <xf numFmtId="0" fontId="7" fillId="0" borderId="5" xfId="0" applyFont="1" applyBorder="1"/>
    <xf numFmtId="165" fontId="0" fillId="0" borderId="7" xfId="0" applyNumberFormat="1" applyBorder="1" applyAlignment="1">
      <alignment horizontal="center" vertical="center"/>
    </xf>
    <xf numFmtId="165" fontId="7" fillId="0" borderId="8" xfId="0" applyNumberFormat="1" applyFont="1" applyBorder="1" applyAlignment="1">
      <alignment horizontal="center" vertical="center"/>
    </xf>
    <xf numFmtId="1" fontId="0" fillId="0" borderId="0" xfId="0" applyNumberFormat="1"/>
    <xf numFmtId="0" fontId="11" fillId="0" borderId="0" xfId="0" applyFont="1"/>
    <xf numFmtId="0" fontId="0" fillId="0" borderId="54" xfId="0" applyBorder="1"/>
    <xf numFmtId="1" fontId="0" fillId="0" borderId="1" xfId="0" applyNumberFormat="1" applyBorder="1"/>
    <xf numFmtId="11" fontId="0" fillId="0" borderId="9" xfId="0" applyNumberFormat="1" applyBorder="1"/>
    <xf numFmtId="11" fontId="0" fillId="0" borderId="10" xfId="0" applyNumberFormat="1" applyBorder="1"/>
    <xf numFmtId="11" fontId="0" fillId="0" borderId="6" xfId="0" applyNumberFormat="1" applyBorder="1"/>
    <xf numFmtId="11" fontId="0" fillId="0" borderId="8" xfId="0" applyNumberFormat="1" applyBorder="1"/>
    <xf numFmtId="165" fontId="0" fillId="0" borderId="33" xfId="0" applyNumberFormat="1" applyBorder="1" applyAlignment="1">
      <alignment horizontal="center"/>
    </xf>
    <xf numFmtId="165" fontId="7" fillId="0" borderId="24" xfId="0" applyNumberFormat="1" applyFont="1" applyBorder="1" applyAlignment="1">
      <alignment horizontal="center" vertical="center"/>
    </xf>
    <xf numFmtId="165" fontId="0" fillId="0" borderId="45" xfId="0" applyNumberFormat="1" applyBorder="1" applyAlignment="1">
      <alignment horizontal="center"/>
    </xf>
    <xf numFmtId="165" fontId="0" fillId="0" borderId="8" xfId="0" applyNumberFormat="1" applyBorder="1" applyAlignment="1">
      <alignment horizontal="center"/>
    </xf>
    <xf numFmtId="165" fontId="0" fillId="0" borderId="10" xfId="0" applyNumberFormat="1" applyBorder="1" applyAlignment="1">
      <alignment horizontal="center"/>
    </xf>
    <xf numFmtId="165" fontId="0" fillId="0" borderId="11" xfId="0" applyNumberFormat="1" applyBorder="1" applyAlignment="1">
      <alignment horizontal="center"/>
    </xf>
    <xf numFmtId="168" fontId="0" fillId="0" borderId="1" xfId="0" applyNumberFormat="1" applyBorder="1" applyAlignment="1">
      <alignment horizontal="center" vertical="center"/>
    </xf>
    <xf numFmtId="0" fontId="7" fillId="0" borderId="1" xfId="0" applyFont="1" applyBorder="1" applyAlignment="1">
      <alignment horizontal="center"/>
    </xf>
    <xf numFmtId="168" fontId="0" fillId="0" borderId="0" xfId="0" applyNumberFormat="1"/>
    <xf numFmtId="165" fontId="0" fillId="0" borderId="4" xfId="0" applyNumberFormat="1" applyFill="1" applyBorder="1"/>
    <xf numFmtId="165" fontId="7" fillId="0" borderId="5" xfId="0" applyNumberFormat="1" applyFont="1" applyFill="1" applyBorder="1"/>
    <xf numFmtId="165" fontId="7" fillId="0" borderId="6" xfId="0" applyNumberFormat="1" applyFont="1" applyFill="1" applyBorder="1"/>
    <xf numFmtId="165" fontId="0" fillId="0" borderId="7" xfId="0" applyNumberFormat="1" applyFill="1" applyBorder="1"/>
    <xf numFmtId="165" fontId="7" fillId="0" borderId="1" xfId="0" applyNumberFormat="1" applyFont="1" applyFill="1" applyBorder="1"/>
    <xf numFmtId="165" fontId="7" fillId="0" borderId="8" xfId="0" applyNumberFormat="1" applyFont="1" applyFill="1" applyBorder="1"/>
    <xf numFmtId="165" fontId="7" fillId="0" borderId="10" xfId="0" applyNumberFormat="1" applyFont="1" applyFill="1" applyBorder="1"/>
    <xf numFmtId="165" fontId="7" fillId="0" borderId="11" xfId="0" applyNumberFormat="1" applyFont="1" applyFill="1" applyBorder="1"/>
    <xf numFmtId="11" fontId="0" fillId="0" borderId="1" xfId="0" applyNumberFormat="1" applyBorder="1"/>
    <xf numFmtId="164" fontId="0" fillId="3" borderId="1" xfId="0" applyNumberFormat="1" applyFill="1" applyBorder="1"/>
    <xf numFmtId="164" fontId="0" fillId="3" borderId="0" xfId="0" applyNumberFormat="1" applyFill="1"/>
    <xf numFmtId="164" fontId="0" fillId="3" borderId="32" xfId="0" applyNumberFormat="1" applyFill="1" applyBorder="1"/>
    <xf numFmtId="164" fontId="7" fillId="3" borderId="32" xfId="0" applyNumberFormat="1" applyFont="1" applyFill="1" applyBorder="1"/>
    <xf numFmtId="1" fontId="0" fillId="3" borderId="20" xfId="0" applyNumberFormat="1" applyFill="1" applyBorder="1" applyAlignment="1">
      <alignment horizontal="center" vertical="center"/>
    </xf>
    <xf numFmtId="0" fontId="0" fillId="3" borderId="20" xfId="0" applyFill="1" applyBorder="1" applyAlignment="1">
      <alignment horizontal="center" vertical="center"/>
    </xf>
    <xf numFmtId="1" fontId="0" fillId="3" borderId="0" xfId="0" applyNumberFormat="1" applyFill="1" applyAlignment="1">
      <alignment horizontal="center" vertical="center"/>
    </xf>
    <xf numFmtId="0" fontId="0" fillId="3" borderId="0" xfId="0" applyFill="1" applyAlignment="1">
      <alignment horizontal="center" vertical="center"/>
    </xf>
    <xf numFmtId="1" fontId="0" fillId="3" borderId="2" xfId="0" applyNumberFormat="1" applyFill="1" applyBorder="1" applyAlignment="1">
      <alignment horizontal="center" vertical="center"/>
    </xf>
    <xf numFmtId="0" fontId="0" fillId="3" borderId="2" xfId="0" applyFill="1" applyBorder="1" applyAlignment="1">
      <alignment horizontal="center" vertical="center"/>
    </xf>
    <xf numFmtId="0" fontId="0" fillId="3" borderId="0" xfId="0" applyFill="1"/>
    <xf numFmtId="0" fontId="0" fillId="3" borderId="2" xfId="0" applyFill="1" applyBorder="1"/>
    <xf numFmtId="0" fontId="0" fillId="3" borderId="44" xfId="0" applyFill="1" applyBorder="1"/>
    <xf numFmtId="1" fontId="0" fillId="3" borderId="44" xfId="0" applyNumberFormat="1" applyFill="1" applyBorder="1" applyAlignment="1">
      <alignment horizontal="center" vertical="center"/>
    </xf>
    <xf numFmtId="0" fontId="0" fillId="3" borderId="44" xfId="0" applyFill="1" applyBorder="1" applyAlignment="1">
      <alignment horizontal="center" vertical="center"/>
    </xf>
    <xf numFmtId="0" fontId="0" fillId="3" borderId="0" xfId="0" applyFill="1" applyBorder="1"/>
    <xf numFmtId="1" fontId="0" fillId="3" borderId="0" xfId="0" applyNumberFormat="1" applyFill="1" applyBorder="1" applyAlignment="1">
      <alignment horizontal="center" vertical="center"/>
    </xf>
    <xf numFmtId="0" fontId="0" fillId="3" borderId="0" xfId="0" applyFill="1" applyBorder="1" applyAlignment="1">
      <alignment horizontal="center" vertical="center"/>
    </xf>
    <xf numFmtId="165" fontId="0" fillId="0" borderId="1" xfId="0" applyNumberFormat="1" applyBorder="1" applyAlignment="1">
      <alignment horizontal="right" vertical="center"/>
    </xf>
    <xf numFmtId="0" fontId="0" fillId="0" borderId="20" xfId="0" applyBorder="1" applyAlignment="1">
      <alignment horizontal="center"/>
    </xf>
    <xf numFmtId="1" fontId="0" fillId="3" borderId="0" xfId="0" quotePrefix="1" applyNumberFormat="1" applyFill="1" applyAlignment="1">
      <alignment horizontal="center" vertical="center"/>
    </xf>
    <xf numFmtId="11" fontId="0" fillId="2" borderId="1" xfId="0" applyNumberFormat="1" applyFill="1" applyBorder="1"/>
    <xf numFmtId="164" fontId="0" fillId="0" borderId="26" xfId="0" applyNumberFormat="1" applyBorder="1"/>
    <xf numFmtId="0" fontId="7" fillId="0" borderId="26" xfId="0" applyFont="1" applyBorder="1"/>
    <xf numFmtId="164" fontId="7" fillId="0" borderId="26" xfId="0" applyNumberFormat="1" applyFont="1" applyBorder="1"/>
    <xf numFmtId="165" fontId="7" fillId="4" borderId="1" xfId="0" applyNumberFormat="1" applyFont="1" applyFill="1" applyBorder="1"/>
    <xf numFmtId="165" fontId="0" fillId="4" borderId="1" xfId="0" applyNumberFormat="1" applyFill="1" applyBorder="1"/>
    <xf numFmtId="1" fontId="0" fillId="4" borderId="1" xfId="0" applyNumberFormat="1" applyFill="1" applyBorder="1" applyAlignment="1">
      <alignment horizontal="center" vertical="center"/>
    </xf>
    <xf numFmtId="0" fontId="0" fillId="4" borderId="1" xfId="0" applyFill="1" applyBorder="1" applyAlignment="1">
      <alignment horizontal="center" vertical="center"/>
    </xf>
    <xf numFmtId="165" fontId="0" fillId="4" borderId="1" xfId="0" applyNumberFormat="1" applyFill="1" applyBorder="1" applyAlignment="1">
      <alignment horizontal="center" vertical="center"/>
    </xf>
    <xf numFmtId="164" fontId="0" fillId="2" borderId="0" xfId="0" applyNumberFormat="1" applyFill="1" applyBorder="1"/>
    <xf numFmtId="1" fontId="0" fillId="4" borderId="2" xfId="0" applyNumberFormat="1" applyFill="1" applyBorder="1" applyAlignment="1">
      <alignment horizontal="center" vertical="center"/>
    </xf>
    <xf numFmtId="164" fontId="0" fillId="4" borderId="0" xfId="0" applyNumberFormat="1" applyFill="1"/>
    <xf numFmtId="165" fontId="0" fillId="0" borderId="1" xfId="0" applyNumberFormat="1" applyFill="1" applyBorder="1"/>
    <xf numFmtId="11" fontId="0" fillId="0" borderId="1" xfId="0" applyNumberFormat="1" applyFill="1" applyBorder="1"/>
    <xf numFmtId="164" fontId="0" fillId="0" borderId="1" xfId="0" applyNumberFormat="1" applyFill="1" applyBorder="1"/>
    <xf numFmtId="164" fontId="7" fillId="2" borderId="0" xfId="0" applyNumberFormat="1" applyFont="1" applyFill="1" applyBorder="1"/>
    <xf numFmtId="164" fontId="0" fillId="0" borderId="1" xfId="0" applyNumberFormat="1" applyBorder="1" applyAlignment="1">
      <alignment horizontal="center"/>
    </xf>
    <xf numFmtId="0" fontId="0" fillId="0" borderId="2" xfId="0" applyBorder="1" applyAlignment="1">
      <alignment horizontal="center"/>
    </xf>
    <xf numFmtId="0" fontId="0" fillId="0" borderId="0"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165" fontId="0" fillId="0" borderId="1" xfId="0" applyNumberFormat="1" applyBorder="1" applyAlignment="1">
      <alignment horizontal="center"/>
    </xf>
    <xf numFmtId="165" fontId="0" fillId="0" borderId="4" xfId="0" applyNumberFormat="1" applyBorder="1" applyAlignment="1">
      <alignment horizontal="center"/>
    </xf>
    <xf numFmtId="165" fontId="0" fillId="0" borderId="5" xfId="0" applyNumberFormat="1" applyBorder="1" applyAlignment="1">
      <alignment horizontal="center"/>
    </xf>
    <xf numFmtId="165" fontId="0" fillId="0" borderId="6" xfId="0" applyNumberFormat="1" applyBorder="1" applyAlignment="1">
      <alignment horizontal="center"/>
    </xf>
    <xf numFmtId="165" fontId="0" fillId="0" borderId="0" xfId="0" applyNumberFormat="1" applyAlignment="1">
      <alignment horizontal="center"/>
    </xf>
    <xf numFmtId="0" fontId="0" fillId="0" borderId="0" xfId="0" applyAlignment="1">
      <alignment horizontal="center"/>
    </xf>
    <xf numFmtId="165" fontId="0" fillId="0" borderId="22" xfId="0" applyNumberFormat="1" applyBorder="1" applyAlignment="1">
      <alignment horizontal="center"/>
    </xf>
    <xf numFmtId="165" fontId="0" fillId="0" borderId="26" xfId="0" applyNumberFormat="1" applyBorder="1" applyAlignment="1">
      <alignment horizontal="center"/>
    </xf>
    <xf numFmtId="165" fontId="0" fillId="0" borderId="24" xfId="0" applyNumberFormat="1" applyBorder="1" applyAlignment="1">
      <alignment horizontal="center"/>
    </xf>
    <xf numFmtId="0" fontId="0" fillId="0" borderId="5" xfId="0" applyBorder="1" applyAlignment="1">
      <alignment horizontal="center"/>
    </xf>
    <xf numFmtId="0" fontId="0" fillId="0" borderId="15" xfId="0" applyBorder="1" applyAlignment="1">
      <alignment horizont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0" xfId="0" applyBorder="1" applyAlignment="1">
      <alignment horizontal="left" vertical="center" wrapText="1"/>
    </xf>
    <xf numFmtId="0" fontId="0" fillId="0" borderId="16" xfId="0" applyBorder="1" applyAlignment="1">
      <alignment horizontal="left" vertical="center" wrapText="1"/>
    </xf>
    <xf numFmtId="0" fontId="0" fillId="0" borderId="0" xfId="0" applyBorder="1"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36" xfId="0" applyBorder="1" applyAlignment="1">
      <alignment horizontal="center"/>
    </xf>
    <xf numFmtId="0" fontId="0" fillId="0" borderId="37" xfId="0" applyBorder="1" applyAlignment="1">
      <alignment horizontal="center"/>
    </xf>
    <xf numFmtId="165" fontId="0" fillId="0" borderId="36" xfId="0" applyNumberFormat="1" applyBorder="1" applyAlignment="1">
      <alignment horizontal="center"/>
    </xf>
    <xf numFmtId="0" fontId="4" fillId="0" borderId="0" xfId="0" applyFont="1" applyAlignment="1">
      <alignment horizontal="center"/>
    </xf>
    <xf numFmtId="0" fontId="0" fillId="0" borderId="0" xfId="0" applyAlignment="1">
      <alignment horizontal="left" vertical="top" wrapText="1"/>
    </xf>
    <xf numFmtId="165" fontId="0" fillId="0" borderId="49" xfId="0" applyNumberFormat="1" applyBorder="1" applyAlignment="1">
      <alignment horizontal="center"/>
    </xf>
    <xf numFmtId="165" fontId="0" fillId="0" borderId="25" xfId="0" applyNumberFormat="1" applyBorder="1" applyAlignment="1">
      <alignment horizontal="center"/>
    </xf>
    <xf numFmtId="165" fontId="0" fillId="0" borderId="50" xfId="0" applyNumberFormat="1" applyBorder="1" applyAlignment="1">
      <alignment horizontal="center"/>
    </xf>
    <xf numFmtId="0" fontId="0" fillId="0" borderId="6" xfId="0" applyBorder="1" applyAlignment="1">
      <alignment horizontal="center"/>
    </xf>
    <xf numFmtId="0" fontId="5" fillId="0" borderId="0" xfId="0" applyFont="1" applyAlignment="1">
      <alignment horizontal="left" vertical="center" wrapText="1"/>
    </xf>
    <xf numFmtId="165" fontId="0" fillId="0" borderId="5" xfId="0" applyNumberForma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65" fontId="7" fillId="0" borderId="0" xfId="0" applyNumberFormat="1" applyFont="1" applyAlignment="1">
      <alignment horizontal="center"/>
    </xf>
    <xf numFmtId="165" fontId="7" fillId="0" borderId="1" xfId="0" applyNumberFormat="1" applyFont="1"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0" fillId="0" borderId="57" xfId="0" applyBorder="1" applyAlignment="1">
      <alignment horizontal="center"/>
    </xf>
    <xf numFmtId="0" fontId="0" fillId="0" borderId="22"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165" fontId="0" fillId="0" borderId="3" xfId="0" applyNumberFormat="1" applyBorder="1" applyAlignment="1">
      <alignment horizontal="center"/>
    </xf>
    <xf numFmtId="0" fontId="0" fillId="0" borderId="3" xfId="0" applyBorder="1" applyAlignment="1">
      <alignment horizontal="center"/>
    </xf>
    <xf numFmtId="165" fontId="0" fillId="0" borderId="0" xfId="0" applyNumberFormat="1" applyBorder="1" applyAlignment="1">
      <alignment horizontal="center"/>
    </xf>
    <xf numFmtId="0" fontId="2" fillId="0" borderId="0" xfId="0" applyFont="1" applyBorder="1" applyAlignment="1">
      <alignment horizontal="center"/>
    </xf>
    <xf numFmtId="0" fontId="0" fillId="0" borderId="39" xfId="0"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165" fontId="0" fillId="0" borderId="39" xfId="0" applyNumberFormat="1" applyBorder="1" applyAlignment="1">
      <alignment horizontal="center"/>
    </xf>
    <xf numFmtId="165" fontId="0" fillId="0" borderId="35" xfId="0" applyNumberFormat="1" applyBorder="1" applyAlignment="1">
      <alignment horizontal="center"/>
    </xf>
    <xf numFmtId="165" fontId="0" fillId="0" borderId="40" xfId="0" applyNumberFormat="1" applyBorder="1" applyAlignment="1">
      <alignment horizontal="center"/>
    </xf>
    <xf numFmtId="0" fontId="0" fillId="0" borderId="40" xfId="0" applyBorder="1" applyAlignment="1">
      <alignment horizontal="center"/>
    </xf>
    <xf numFmtId="165" fontId="0" fillId="0" borderId="15" xfId="0" applyNumberFormat="1" applyBorder="1"/>
  </cellXfs>
  <cellStyles count="1">
    <cellStyle name="標準" xfId="0" builtinId="0"/>
  </cellStyles>
  <dxfs count="0"/>
  <tableStyles count="0" defaultTableStyle="TableStyleMedium2" defaultPivotStyle="PivotStyleLight16"/>
  <colors>
    <mruColors>
      <color rgb="FFCC99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75110</xdr:colOff>
      <xdr:row>34</xdr:row>
      <xdr:rowOff>119537</xdr:rowOff>
    </xdr:from>
    <xdr:ext cx="1870448" cy="321306"/>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15FE9893-8903-4036-A6EB-D2E93F126638}"/>
                </a:ext>
              </a:extLst>
            </xdr:cNvPr>
            <xdr:cNvSpPr txBox="1"/>
          </xdr:nvSpPr>
          <xdr:spPr>
            <a:xfrm>
              <a:off x="3303027" y="6935204"/>
              <a:ext cx="1870448" cy="3213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acc>
                    <m:accPr>
                      <m:chr m:val="⃗"/>
                      <m:ctrlPr>
                        <a:rPr lang="en-US" sz="1800" i="1">
                          <a:latin typeface="Cambria Math" panose="02040503050406030204" pitchFamily="18" charset="0"/>
                        </a:rPr>
                      </m:ctrlPr>
                    </m:accPr>
                    <m:e>
                      <m:r>
                        <a:rPr lang="en-US" sz="1800" b="0" i="1">
                          <a:solidFill>
                            <a:schemeClr val="tx1"/>
                          </a:solidFill>
                          <a:effectLst/>
                          <a:latin typeface="Cambria Math" panose="02040503050406030204" pitchFamily="18" charset="0"/>
                          <a:ea typeface="+mn-ea"/>
                          <a:cs typeface="+mn-cs"/>
                        </a:rPr>
                        <m:t>𝐸𝑁𝑈</m:t>
                      </m:r>
                    </m:e>
                  </m:acc>
                  <m:r>
                    <a:rPr lang="en-US" sz="1800" i="1">
                      <a:latin typeface="Cambria Math" panose="02040503050406030204" pitchFamily="18" charset="0"/>
                    </a:rPr>
                    <m:t>=</m:t>
                  </m:r>
                  <m:r>
                    <a:rPr lang="en-US" sz="1800" b="0" i="1">
                      <a:latin typeface="Cambria Math" panose="02040503050406030204" pitchFamily="18" charset="0"/>
                    </a:rPr>
                    <m:t>𝐴</m:t>
                  </m:r>
                  <m:r>
                    <a:rPr lang="en-US" sz="1800" b="0" i="1">
                      <a:latin typeface="Cambria Math" panose="02040503050406030204" pitchFamily="18" charset="0"/>
                    </a:rPr>
                    <m:t> </m:t>
                  </m:r>
                  <m:acc>
                    <m:accPr>
                      <m:chr m:val="⃗"/>
                      <m:ctrlPr>
                        <a:rPr lang="en-US" sz="1800" b="0" i="1">
                          <a:latin typeface="Cambria Math" panose="02040503050406030204" pitchFamily="18" charset="0"/>
                        </a:rPr>
                      </m:ctrlPr>
                    </m:accPr>
                    <m:e>
                      <m:sSub>
                        <m:sSubPr>
                          <m:ctrlPr>
                            <a:rPr lang="en-US" sz="1800" b="0" i="1">
                              <a:latin typeface="Cambria Math" panose="02040503050406030204" pitchFamily="18" charset="0"/>
                            </a:rPr>
                          </m:ctrlPr>
                        </m:sSubPr>
                        <m:e>
                          <m:r>
                            <a:rPr lang="en-US" sz="1800" b="0" i="1">
                              <a:latin typeface="Cambria Math" panose="02040503050406030204" pitchFamily="18" charset="0"/>
                            </a:rPr>
                            <m:t>𝑋𝑌𝑍</m:t>
                          </m:r>
                        </m:e>
                        <m:sub>
                          <m:r>
                            <a:rPr lang="en-US" sz="1800" b="0" i="1">
                              <a:latin typeface="Cambria Math" panose="02040503050406030204" pitchFamily="18" charset="0"/>
                            </a:rPr>
                            <m:t>𝑙𝑜𝑐𝑎𝑙</m:t>
                          </m:r>
                        </m:sub>
                      </m:sSub>
                    </m:e>
                  </m:acc>
                </m:oMath>
              </a14:m>
              <a:r>
                <a:rPr lang="en-US" sz="1800" b="1" i="1"/>
                <a:t> </a:t>
              </a:r>
            </a:p>
          </xdr:txBody>
        </xdr:sp>
      </mc:Choice>
      <mc:Fallback xmlns="">
        <xdr:sp macro="" textlink="">
          <xdr:nvSpPr>
            <xdr:cNvPr id="2" name="テキスト ボックス 1">
              <a:extLst>
                <a:ext uri="{FF2B5EF4-FFF2-40B4-BE49-F238E27FC236}">
                  <a16:creationId xmlns:a16="http://schemas.microsoft.com/office/drawing/2014/main" id="{15FE9893-8903-4036-A6EB-D2E93F126638}"/>
                </a:ext>
              </a:extLst>
            </xdr:cNvPr>
            <xdr:cNvSpPr txBox="1"/>
          </xdr:nvSpPr>
          <xdr:spPr>
            <a:xfrm>
              <a:off x="3303027" y="6935204"/>
              <a:ext cx="1870448" cy="3213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800" i="0">
                  <a:latin typeface="Cambria Math" panose="02040503050406030204" pitchFamily="18" charset="0"/>
                </a:rPr>
                <a:t>(</a:t>
              </a:r>
              <a:r>
                <a:rPr lang="en-US" sz="1800" b="0" i="0">
                  <a:solidFill>
                    <a:schemeClr val="tx1"/>
                  </a:solidFill>
                  <a:effectLst/>
                  <a:latin typeface="+mn-lt"/>
                  <a:ea typeface="+mn-ea"/>
                  <a:cs typeface="+mn-cs"/>
                </a:rPr>
                <a:t>𝐸𝑁𝑈</a:t>
              </a:r>
              <a:r>
                <a:rPr lang="en-US" sz="1800" b="0" i="0">
                  <a:solidFill>
                    <a:schemeClr val="tx1"/>
                  </a:solidFill>
                  <a:effectLst/>
                  <a:latin typeface="Cambria Math" panose="02040503050406030204" pitchFamily="18" charset="0"/>
                  <a:ea typeface="+mn-ea"/>
                  <a:cs typeface="+mn-cs"/>
                </a:rPr>
                <a:t>) ⃗</a:t>
              </a:r>
              <a:r>
                <a:rPr lang="en-US" sz="1800" i="0">
                  <a:latin typeface="Cambria Math" panose="02040503050406030204" pitchFamily="18" charset="0"/>
                </a:rPr>
                <a:t>=</a:t>
              </a:r>
              <a:r>
                <a:rPr lang="en-US" sz="1800" b="0" i="0">
                  <a:latin typeface="Cambria Math" panose="02040503050406030204" pitchFamily="18" charset="0"/>
                </a:rPr>
                <a:t>𝐴 (〖𝑋𝑌𝑍〗_𝑙𝑜𝑐𝑎𝑙 ) ⃗</a:t>
              </a:r>
              <a:r>
                <a:rPr lang="en-US" sz="1800" b="1" i="1"/>
                <a:t> </a:t>
              </a: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6</xdr:col>
      <xdr:colOff>276193</xdr:colOff>
      <xdr:row>37</xdr:row>
      <xdr:rowOff>56038</xdr:rowOff>
    </xdr:from>
    <xdr:ext cx="1870448" cy="321306"/>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241F96EF-A54C-4FAB-A2DC-5ED3387235DB}"/>
                </a:ext>
              </a:extLst>
            </xdr:cNvPr>
            <xdr:cNvSpPr txBox="1"/>
          </xdr:nvSpPr>
          <xdr:spPr>
            <a:xfrm>
              <a:off x="3495643" y="6847363"/>
              <a:ext cx="1870448" cy="3213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acc>
                    <m:accPr>
                      <m:chr m:val="⃗"/>
                      <m:ctrlPr>
                        <a:rPr lang="en-US" sz="1800" i="1">
                          <a:latin typeface="Cambria Math" panose="02040503050406030204" pitchFamily="18" charset="0"/>
                        </a:rPr>
                      </m:ctrlPr>
                    </m:accPr>
                    <m:e>
                      <m:r>
                        <a:rPr lang="en-US" sz="1800" b="0" i="1">
                          <a:solidFill>
                            <a:schemeClr val="tx1"/>
                          </a:solidFill>
                          <a:effectLst/>
                          <a:latin typeface="Cambria Math" panose="02040503050406030204" pitchFamily="18" charset="0"/>
                          <a:ea typeface="+mn-ea"/>
                          <a:cs typeface="+mn-cs"/>
                        </a:rPr>
                        <m:t>𝐸𝑁𝑈</m:t>
                      </m:r>
                    </m:e>
                  </m:acc>
                  <m:r>
                    <a:rPr lang="en-US" sz="1800" i="1">
                      <a:latin typeface="Cambria Math" panose="02040503050406030204" pitchFamily="18" charset="0"/>
                    </a:rPr>
                    <m:t>=</m:t>
                  </m:r>
                  <m:r>
                    <a:rPr lang="en-US" sz="1800" b="0" i="1">
                      <a:latin typeface="Cambria Math" panose="02040503050406030204" pitchFamily="18" charset="0"/>
                    </a:rPr>
                    <m:t>𝐴</m:t>
                  </m:r>
                  <m:r>
                    <a:rPr lang="en-US" sz="1800" b="0" i="1">
                      <a:latin typeface="Cambria Math" panose="02040503050406030204" pitchFamily="18" charset="0"/>
                    </a:rPr>
                    <m:t> </m:t>
                  </m:r>
                  <m:acc>
                    <m:accPr>
                      <m:chr m:val="⃗"/>
                      <m:ctrlPr>
                        <a:rPr lang="en-US" sz="1800" b="0" i="1">
                          <a:latin typeface="Cambria Math" panose="02040503050406030204" pitchFamily="18" charset="0"/>
                        </a:rPr>
                      </m:ctrlPr>
                    </m:accPr>
                    <m:e>
                      <m:sSub>
                        <m:sSubPr>
                          <m:ctrlPr>
                            <a:rPr lang="en-US" sz="1800" b="0" i="1">
                              <a:latin typeface="Cambria Math" panose="02040503050406030204" pitchFamily="18" charset="0"/>
                            </a:rPr>
                          </m:ctrlPr>
                        </m:sSubPr>
                        <m:e>
                          <m:r>
                            <a:rPr lang="en-US" sz="1800" b="0" i="1">
                              <a:latin typeface="Cambria Math" panose="02040503050406030204" pitchFamily="18" charset="0"/>
                            </a:rPr>
                            <m:t>𝑋𝑌𝑍</m:t>
                          </m:r>
                        </m:e>
                        <m:sub>
                          <m:r>
                            <a:rPr lang="en-US" sz="1800" b="0" i="1">
                              <a:latin typeface="Cambria Math" panose="02040503050406030204" pitchFamily="18" charset="0"/>
                            </a:rPr>
                            <m:t>𝑙𝑜𝑐𝑎𝑙</m:t>
                          </m:r>
                        </m:sub>
                      </m:sSub>
                    </m:e>
                  </m:acc>
                </m:oMath>
              </a14:m>
              <a:r>
                <a:rPr lang="en-US" sz="1800" b="1" i="1"/>
                <a:t> </a:t>
              </a:r>
            </a:p>
          </xdr:txBody>
        </xdr:sp>
      </mc:Choice>
      <mc:Fallback xmlns="">
        <xdr:sp macro="" textlink="">
          <xdr:nvSpPr>
            <xdr:cNvPr id="2" name="テキスト ボックス 1">
              <a:extLst>
                <a:ext uri="{FF2B5EF4-FFF2-40B4-BE49-F238E27FC236}">
                  <a16:creationId xmlns:a16="http://schemas.microsoft.com/office/drawing/2014/main" id="{241F96EF-A54C-4FAB-A2DC-5ED3387235DB}"/>
                </a:ext>
              </a:extLst>
            </xdr:cNvPr>
            <xdr:cNvSpPr txBox="1"/>
          </xdr:nvSpPr>
          <xdr:spPr>
            <a:xfrm>
              <a:off x="3495643" y="6847363"/>
              <a:ext cx="1870448" cy="3213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800" i="0">
                  <a:latin typeface="Cambria Math" panose="02040503050406030204" pitchFamily="18" charset="0"/>
                </a:rPr>
                <a:t>(</a:t>
              </a:r>
              <a:r>
                <a:rPr lang="en-US" sz="1800" b="0" i="0">
                  <a:solidFill>
                    <a:schemeClr val="tx1"/>
                  </a:solidFill>
                  <a:effectLst/>
                  <a:latin typeface="+mn-lt"/>
                  <a:ea typeface="+mn-ea"/>
                  <a:cs typeface="+mn-cs"/>
                </a:rPr>
                <a:t>𝐸𝑁𝑈</a:t>
              </a:r>
              <a:r>
                <a:rPr lang="en-US" sz="1800" b="0" i="0">
                  <a:solidFill>
                    <a:schemeClr val="tx1"/>
                  </a:solidFill>
                  <a:effectLst/>
                  <a:latin typeface="Cambria Math" panose="02040503050406030204" pitchFamily="18" charset="0"/>
                  <a:ea typeface="+mn-ea"/>
                  <a:cs typeface="+mn-cs"/>
                </a:rPr>
                <a:t>) ⃗</a:t>
              </a:r>
              <a:r>
                <a:rPr lang="en-US" sz="1800" i="0">
                  <a:latin typeface="Cambria Math" panose="02040503050406030204" pitchFamily="18" charset="0"/>
                </a:rPr>
                <a:t>=</a:t>
              </a:r>
              <a:r>
                <a:rPr lang="en-US" sz="1800" b="0" i="0">
                  <a:latin typeface="Cambria Math" panose="02040503050406030204" pitchFamily="18" charset="0"/>
                </a:rPr>
                <a:t>𝐴 (〖𝑋𝑌𝑍〗_𝑙𝑜𝑐𝑎𝑙 ) ⃗</a:t>
              </a:r>
              <a:r>
                <a:rPr lang="en-US" sz="1800" b="1" i="1"/>
                <a:t> </a:t>
              </a:r>
            </a:p>
          </xdr:txBody>
        </xdr:sp>
      </mc:Fallback>
    </mc:AlternateContent>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DF762-EB2D-48DD-BB07-8D21B5430342}">
  <dimension ref="C2:AD28"/>
  <sheetViews>
    <sheetView workbookViewId="0"/>
  </sheetViews>
  <sheetFormatPr defaultRowHeight="15"/>
  <cols>
    <col min="3" max="4" width="9.140625" style="9"/>
    <col min="25" max="30" width="9.140625" style="1"/>
  </cols>
  <sheetData>
    <row r="2" spans="3:30">
      <c r="C2" s="10"/>
      <c r="D2" s="10"/>
      <c r="E2" s="2"/>
      <c r="F2" s="315" t="s">
        <v>13</v>
      </c>
      <c r="G2" s="315"/>
      <c r="H2" s="315"/>
      <c r="I2" s="315" t="s">
        <v>12</v>
      </c>
      <c r="J2" s="315"/>
      <c r="K2" s="315"/>
      <c r="L2" s="315" t="s">
        <v>11</v>
      </c>
      <c r="M2" s="315"/>
      <c r="N2" s="315"/>
      <c r="O2" s="315" t="s">
        <v>10</v>
      </c>
      <c r="P2" s="315"/>
      <c r="Q2" s="315"/>
      <c r="R2" s="315" t="s">
        <v>9</v>
      </c>
      <c r="S2" s="315"/>
      <c r="T2" s="315"/>
      <c r="Y2" s="311" t="s">
        <v>7</v>
      </c>
      <c r="Z2" s="311"/>
      <c r="AA2" s="311"/>
      <c r="AB2" s="311" t="s">
        <v>8</v>
      </c>
      <c r="AC2" s="311"/>
      <c r="AD2" s="311"/>
    </row>
    <row r="3" spans="3:30">
      <c r="C3" s="314" t="s">
        <v>0</v>
      </c>
      <c r="D3" s="314" t="s">
        <v>2</v>
      </c>
      <c r="E3" s="2"/>
      <c r="F3" s="4" t="s">
        <v>4</v>
      </c>
      <c r="G3" s="4" t="s">
        <v>5</v>
      </c>
      <c r="H3" s="4" t="s">
        <v>6</v>
      </c>
      <c r="I3" s="4" t="s">
        <v>4</v>
      </c>
      <c r="J3" s="4" t="s">
        <v>5</v>
      </c>
      <c r="K3" s="4" t="s">
        <v>6</v>
      </c>
      <c r="L3" s="4" t="s">
        <v>4</v>
      </c>
      <c r="M3" s="4" t="s">
        <v>5</v>
      </c>
      <c r="N3" s="4" t="s">
        <v>6</v>
      </c>
      <c r="O3" s="4" t="s">
        <v>4</v>
      </c>
      <c r="P3" s="4" t="s">
        <v>5</v>
      </c>
      <c r="Q3" s="4" t="s">
        <v>6</v>
      </c>
      <c r="R3" s="4" t="s">
        <v>4</v>
      </c>
      <c r="S3" s="4" t="s">
        <v>5</v>
      </c>
      <c r="T3" s="4" t="s">
        <v>6</v>
      </c>
      <c r="Y3" s="5" t="s">
        <v>4</v>
      </c>
      <c r="Z3" s="5" t="s">
        <v>5</v>
      </c>
      <c r="AA3" s="5" t="s">
        <v>6</v>
      </c>
      <c r="AB3" s="5" t="s">
        <v>4</v>
      </c>
      <c r="AC3" s="5" t="s">
        <v>5</v>
      </c>
      <c r="AD3" s="5" t="s">
        <v>6</v>
      </c>
    </row>
    <row r="4" spans="3:30">
      <c r="C4" s="314"/>
      <c r="D4" s="314"/>
      <c r="E4" s="2"/>
      <c r="F4" s="2">
        <v>37.2166</v>
      </c>
      <c r="G4" s="2">
        <v>-36.201799999999999</v>
      </c>
      <c r="H4" s="2">
        <v>10.9495</v>
      </c>
      <c r="I4" s="2">
        <v>37.215800000000002</v>
      </c>
      <c r="J4" s="2">
        <v>-36.201099999999997</v>
      </c>
      <c r="K4" s="2">
        <v>10.947699999999999</v>
      </c>
      <c r="L4" s="2">
        <v>37.2164</v>
      </c>
      <c r="M4" s="2">
        <v>-36.201999999999998</v>
      </c>
      <c r="N4" s="2">
        <v>10.950200000000001</v>
      </c>
      <c r="O4" s="2">
        <v>37.213200000000001</v>
      </c>
      <c r="P4" s="2">
        <v>-36.201300000000003</v>
      </c>
      <c r="Q4" s="2">
        <v>10.948700000000001</v>
      </c>
      <c r="R4" s="2">
        <v>37.216099999999997</v>
      </c>
      <c r="S4" s="2">
        <v>-36.200299999999999</v>
      </c>
      <c r="T4" s="2">
        <v>10.952199999999999</v>
      </c>
      <c r="Y4" s="6">
        <f>AVERAGE(F4,I4,L4,O4,R4)*1000</f>
        <v>37215.620000000003</v>
      </c>
      <c r="Z4" s="6">
        <f>AVERAGE(G4,J4,M4,P4,S4)*1000</f>
        <v>-36201.299999999996</v>
      </c>
      <c r="AA4" s="6">
        <f>AVERAGE(H4,K4,N4,Q4,T4)*1000</f>
        <v>10949.66</v>
      </c>
      <c r="AB4" s="6">
        <f>STDEV(F4,I4,L4,O4,R4)*1000</f>
        <v>1.3863621460494318</v>
      </c>
      <c r="AC4" s="6">
        <f>STDEV(G4,J4,M4,P4,S4)*1000</f>
        <v>0.66708320320635972</v>
      </c>
      <c r="AD4" s="6">
        <f>STDEV(H4,K4,N4,Q4,T4)*1000</f>
        <v>1.6979399282659808</v>
      </c>
    </row>
    <row r="5" spans="3:30">
      <c r="F5" s="7"/>
      <c r="G5" s="7"/>
      <c r="H5" s="7"/>
      <c r="I5" s="7"/>
      <c r="J5" s="7"/>
      <c r="K5" s="7"/>
      <c r="L5" s="315" t="s">
        <v>11</v>
      </c>
      <c r="M5" s="315"/>
      <c r="N5" s="315"/>
      <c r="O5" s="315" t="s">
        <v>10</v>
      </c>
      <c r="P5" s="315"/>
      <c r="Q5" s="315"/>
      <c r="R5" s="315" t="s">
        <v>9</v>
      </c>
      <c r="S5" s="315"/>
      <c r="T5" s="315"/>
      <c r="Y5" s="8"/>
      <c r="Z5" s="8"/>
      <c r="AA5" s="8"/>
      <c r="AB5" s="8"/>
      <c r="AC5" s="8"/>
      <c r="AD5" s="8"/>
    </row>
    <row r="6" spans="3:30">
      <c r="C6" s="314" t="s">
        <v>21</v>
      </c>
      <c r="D6" s="314" t="s">
        <v>3</v>
      </c>
      <c r="E6" s="2"/>
      <c r="F6" s="2"/>
      <c r="G6" s="2"/>
      <c r="H6" s="2"/>
      <c r="I6" s="2"/>
      <c r="J6" s="2"/>
      <c r="K6" s="2"/>
      <c r="L6" s="4" t="s">
        <v>4</v>
      </c>
      <c r="M6" s="4" t="s">
        <v>5</v>
      </c>
      <c r="N6" s="4" t="s">
        <v>6</v>
      </c>
      <c r="O6" s="4" t="s">
        <v>4</v>
      </c>
      <c r="P6" s="4" t="s">
        <v>5</v>
      </c>
      <c r="Q6" s="4" t="s">
        <v>6</v>
      </c>
      <c r="R6" s="4" t="s">
        <v>4</v>
      </c>
      <c r="S6" s="4" t="s">
        <v>5</v>
      </c>
      <c r="T6" s="4" t="s">
        <v>6</v>
      </c>
      <c r="Y6" s="5" t="s">
        <v>4</v>
      </c>
      <c r="Z6" s="5" t="s">
        <v>5</v>
      </c>
      <c r="AA6" s="5" t="s">
        <v>6</v>
      </c>
      <c r="AB6" s="5" t="s">
        <v>4</v>
      </c>
      <c r="AC6" s="5" t="s">
        <v>5</v>
      </c>
      <c r="AD6" s="5" t="s">
        <v>6</v>
      </c>
    </row>
    <row r="7" spans="3:30">
      <c r="C7" s="314"/>
      <c r="D7" s="314"/>
      <c r="E7" s="2"/>
      <c r="F7" s="2"/>
      <c r="G7" s="2"/>
      <c r="H7" s="2"/>
      <c r="I7" s="2"/>
      <c r="J7" s="2"/>
      <c r="K7" s="2"/>
      <c r="L7" s="2">
        <v>13.3683</v>
      </c>
      <c r="M7" s="2">
        <v>-32.716900000000003</v>
      </c>
      <c r="N7" s="2">
        <v>9.1752000000000002</v>
      </c>
      <c r="O7" s="2">
        <v>13.3653</v>
      </c>
      <c r="P7" s="2">
        <v>-32.717100000000002</v>
      </c>
      <c r="Q7" s="2">
        <v>9.1745999999999999</v>
      </c>
      <c r="R7" s="2">
        <v>13.3668</v>
      </c>
      <c r="S7" s="2">
        <v>-32.716500000000003</v>
      </c>
      <c r="T7" s="2">
        <v>9.1103000000000005</v>
      </c>
      <c r="Y7" s="6">
        <f>AVERAGE(F7,I7,L7,O7,R7)*1000</f>
        <v>13366.8</v>
      </c>
      <c r="Z7" s="6">
        <f>AVERAGE(G7,J7,M7,P7,S7)*1000</f>
        <v>-32716.833333333332</v>
      </c>
      <c r="AA7" s="6">
        <f>AVERAGE(H7,K7,N7,Q7,T7)*1000</f>
        <v>9153.3666666666686</v>
      </c>
      <c r="AB7" s="6">
        <f>STDEV(F7,I7,L7,O7,R7)*1000</f>
        <v>1.5000000000000568</v>
      </c>
      <c r="AC7" s="6">
        <f>STDEV(G7,J7,M7,P7,S7)*1000</f>
        <v>0.30550504632967729</v>
      </c>
      <c r="AD7" s="6">
        <f>STDEV(H7,K7,N7,Q7,T7)*1000</f>
        <v>37.298033907074966</v>
      </c>
    </row>
    <row r="9" spans="3:30">
      <c r="Q9" s="2" t="s">
        <v>18</v>
      </c>
      <c r="R9" s="6">
        <f>R7-R4</f>
        <v>-23.849299999999999</v>
      </c>
      <c r="S9" s="6">
        <f>S7-S4</f>
        <v>3.4837999999999951</v>
      </c>
      <c r="T9" s="6">
        <f>T7-T4</f>
        <v>-1.841899999999999</v>
      </c>
      <c r="U9" t="s">
        <v>15</v>
      </c>
      <c r="X9" t="s">
        <v>18</v>
      </c>
      <c r="Y9" s="1">
        <f>Y7-Y4</f>
        <v>-23848.820000000003</v>
      </c>
      <c r="Z9" s="1">
        <f>Z7-Z4</f>
        <v>3484.4666666666635</v>
      </c>
      <c r="AA9" s="1">
        <f>AA7-AA4</f>
        <v>-1796.2933333333312</v>
      </c>
    </row>
    <row r="10" spans="3:30">
      <c r="N10" s="3"/>
      <c r="R10" s="2">
        <f>R9*1000</f>
        <v>-23849.3</v>
      </c>
      <c r="S10" s="2">
        <f>S9*1000</f>
        <v>3483.7999999999952</v>
      </c>
      <c r="T10" s="2">
        <f>T9*1000</f>
        <v>-1841.899999999999</v>
      </c>
      <c r="U10" t="s">
        <v>16</v>
      </c>
    </row>
    <row r="11" spans="3:30">
      <c r="N11" s="3"/>
    </row>
    <row r="12" spans="3:30">
      <c r="N12" s="3"/>
    </row>
    <row r="13" spans="3:30">
      <c r="N13" s="3"/>
    </row>
    <row r="14" spans="3:30">
      <c r="P14" s="312" t="s">
        <v>17</v>
      </c>
      <c r="Q14" s="312"/>
      <c r="R14" s="312"/>
    </row>
    <row r="15" spans="3:30">
      <c r="C15" s="9" t="s">
        <v>1</v>
      </c>
      <c r="D15" s="9" t="s">
        <v>3</v>
      </c>
      <c r="E15" t="s">
        <v>14</v>
      </c>
      <c r="L15" s="2">
        <v>13.367000000000001</v>
      </c>
      <c r="M15" s="2">
        <v>-32.7166</v>
      </c>
      <c r="N15" s="2">
        <v>85.377399999999994</v>
      </c>
      <c r="O15" s="2"/>
      <c r="P15" s="2">
        <v>4.0000000000000002E-4</v>
      </c>
      <c r="Q15" s="2">
        <v>5.0000000000000001E-4</v>
      </c>
      <c r="R15" s="2">
        <v>2.0000000000000001E-4</v>
      </c>
      <c r="S15" t="s">
        <v>15</v>
      </c>
    </row>
    <row r="16" spans="3:30">
      <c r="L16" s="2">
        <f>L15*1000</f>
        <v>13367</v>
      </c>
      <c r="M16" s="2">
        <f>M15*1000</f>
        <v>-32716.6</v>
      </c>
      <c r="N16" s="2">
        <f>N15*1000</f>
        <v>85377.4</v>
      </c>
      <c r="O16" s="2"/>
      <c r="P16" s="2">
        <f>P15*1000</f>
        <v>0.4</v>
      </c>
      <c r="Q16" s="2">
        <f>Q15*1000</f>
        <v>0.5</v>
      </c>
      <c r="R16" s="2">
        <f>R15*1000</f>
        <v>0.2</v>
      </c>
      <c r="S16" t="s">
        <v>16</v>
      </c>
    </row>
    <row r="18" spans="3:27">
      <c r="N18" s="3"/>
    </row>
    <row r="19" spans="3:27">
      <c r="P19" s="313" t="s">
        <v>17</v>
      </c>
      <c r="Q19" s="313"/>
      <c r="R19" s="313"/>
    </row>
    <row r="20" spans="3:27">
      <c r="C20" s="9" t="s">
        <v>0</v>
      </c>
      <c r="D20" s="9" t="s">
        <v>2</v>
      </c>
      <c r="E20" t="s">
        <v>19</v>
      </c>
      <c r="L20" s="2">
        <v>37.215899999999998</v>
      </c>
      <c r="M20" s="2">
        <v>-36.200400000000002</v>
      </c>
      <c r="N20" s="2">
        <v>87.216399999999993</v>
      </c>
      <c r="O20" s="2"/>
      <c r="P20" s="2">
        <v>2.9999999999999997E-4</v>
      </c>
      <c r="Q20" s="2">
        <v>5.0000000000000001E-4</v>
      </c>
      <c r="R20" s="2">
        <v>4.0000000000000002E-4</v>
      </c>
      <c r="S20" t="s">
        <v>15</v>
      </c>
    </row>
    <row r="21" spans="3:27">
      <c r="P21" s="2">
        <f t="shared" ref="P21" si="0">P20*1000</f>
        <v>0.3</v>
      </c>
      <c r="Q21" s="2">
        <f t="shared" ref="Q21" si="1">Q20*1000</f>
        <v>0.5</v>
      </c>
      <c r="R21" s="2">
        <f t="shared" ref="R21" si="2">R20*1000</f>
        <v>0.4</v>
      </c>
      <c r="S21" t="s">
        <v>16</v>
      </c>
    </row>
    <row r="22" spans="3:27">
      <c r="K22" t="s">
        <v>18</v>
      </c>
      <c r="L22" s="2">
        <f>L15-L20</f>
        <v>-23.848899999999997</v>
      </c>
      <c r="M22" s="2">
        <f>M15-M20</f>
        <v>3.4838000000000022</v>
      </c>
      <c r="N22" s="2">
        <f>N15-N20</f>
        <v>-1.8389999999999986</v>
      </c>
      <c r="O22" t="s">
        <v>15</v>
      </c>
      <c r="AA22" s="1">
        <f>N22*1000-AA9</f>
        <v>-42.706666666667388</v>
      </c>
    </row>
    <row r="23" spans="3:27">
      <c r="L23" s="2">
        <f t="shared" ref="L23:N23" si="3">L22*1000</f>
        <v>-23848.899999999998</v>
      </c>
      <c r="M23" s="2">
        <f t="shared" si="3"/>
        <v>3483.800000000002</v>
      </c>
      <c r="N23" s="6">
        <f t="shared" si="3"/>
        <v>-1838.9999999999986</v>
      </c>
      <c r="O23" t="s">
        <v>16</v>
      </c>
    </row>
    <row r="25" spans="3:27">
      <c r="C25" s="9" t="s">
        <v>0</v>
      </c>
      <c r="D25" s="9" t="s">
        <v>2</v>
      </c>
      <c r="E25" t="s">
        <v>20</v>
      </c>
      <c r="L25" s="2">
        <v>37.2166</v>
      </c>
      <c r="M25" s="2">
        <v>-36.200800000000001</v>
      </c>
      <c r="N25" s="2">
        <v>87.216800000000006</v>
      </c>
      <c r="O25" s="2"/>
      <c r="P25" s="2">
        <v>1.4E-3</v>
      </c>
      <c r="Q25" s="2">
        <v>6.9999999999999999E-4</v>
      </c>
      <c r="R25" s="2">
        <v>5.0000000000000001E-4</v>
      </c>
      <c r="S25" t="s">
        <v>15</v>
      </c>
    </row>
    <row r="26" spans="3:27">
      <c r="P26" s="2">
        <f t="shared" ref="P26" si="4">P25*1000</f>
        <v>1.4</v>
      </c>
      <c r="Q26" s="2">
        <f t="shared" ref="Q26" si="5">Q25*1000</f>
        <v>0.7</v>
      </c>
      <c r="R26" s="2">
        <f t="shared" ref="R26" si="6">R25*1000</f>
        <v>0.5</v>
      </c>
      <c r="S26" t="s">
        <v>16</v>
      </c>
    </row>
    <row r="27" spans="3:27">
      <c r="K27" t="s">
        <v>18</v>
      </c>
      <c r="L27" s="2">
        <f>L15-L25</f>
        <v>-23.849599999999999</v>
      </c>
      <c r="M27" s="2">
        <f>M15-M25</f>
        <v>3.4842000000000013</v>
      </c>
      <c r="N27" s="2">
        <f>N15-N25</f>
        <v>-1.8394000000000119</v>
      </c>
      <c r="O27" t="s">
        <v>15</v>
      </c>
    </row>
    <row r="28" spans="3:27">
      <c r="L28" s="2">
        <f>L27*1000</f>
        <v>-23849.599999999999</v>
      </c>
      <c r="M28" s="2">
        <f t="shared" ref="M28:N28" si="7">M27*1000</f>
        <v>3484.2000000000012</v>
      </c>
      <c r="N28" s="2">
        <f t="shared" si="7"/>
        <v>-1839.4000000000119</v>
      </c>
      <c r="O28" t="s">
        <v>16</v>
      </c>
    </row>
  </sheetData>
  <mergeCells count="16">
    <mergeCell ref="Y2:AA2"/>
    <mergeCell ref="AB2:AD2"/>
    <mergeCell ref="P14:R14"/>
    <mergeCell ref="P19:R19"/>
    <mergeCell ref="C6:C7"/>
    <mergeCell ref="D6:D7"/>
    <mergeCell ref="D3:D4"/>
    <mergeCell ref="C3:C4"/>
    <mergeCell ref="L5:N5"/>
    <mergeCell ref="O5:Q5"/>
    <mergeCell ref="R5:T5"/>
    <mergeCell ref="F2:H2"/>
    <mergeCell ref="I2:K2"/>
    <mergeCell ref="L2:N2"/>
    <mergeCell ref="O2:Q2"/>
    <mergeCell ref="R2:T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6D8BD-9508-4C40-9A52-58E46D139F9D}">
  <dimension ref="A1:BR85"/>
  <sheetViews>
    <sheetView topLeftCell="B9" zoomScale="90" zoomScaleNormal="90" workbookViewId="0">
      <pane xSplit="4995" ySplit="1890" topLeftCell="AI1" activePane="bottomRight"/>
      <selection activeCell="K32" sqref="K32"/>
      <selection pane="topRight" activeCell="AW14" sqref="AW14"/>
      <selection pane="bottomLeft" activeCell="N36" sqref="N36"/>
      <selection pane="bottomRight" activeCell="AW7" sqref="AW7"/>
    </sheetView>
  </sheetViews>
  <sheetFormatPr defaultRowHeight="15"/>
  <cols>
    <col min="1" max="1" width="9.140625" style="9"/>
    <col min="2" max="2" width="15.28515625" style="227" customWidth="1"/>
    <col min="3" max="3" width="12.85546875" customWidth="1"/>
    <col min="4" max="4" width="3.7109375" customWidth="1"/>
    <col min="5" max="5" width="1.85546875" customWidth="1"/>
    <col min="6" max="6" width="15" style="3" customWidth="1"/>
    <col min="7" max="8" width="15" style="130" customWidth="1"/>
    <col min="9" max="9" width="3.42578125" style="120" customWidth="1"/>
    <col min="10" max="10" width="13.85546875" style="120" customWidth="1"/>
    <col min="11" max="12" width="13.85546875" customWidth="1"/>
    <col min="13" max="13" width="4.28515625" customWidth="1"/>
    <col min="14" max="14" width="13.5703125" customWidth="1"/>
    <col min="15" max="16" width="13" customWidth="1"/>
    <col min="17" max="17" width="4" customWidth="1"/>
    <col min="18" max="20" width="14.140625" customWidth="1"/>
    <col min="21" max="21" width="4.85546875" customWidth="1"/>
    <col min="22" max="24" width="10.5703125" style="3" customWidth="1"/>
    <col min="25" max="25" width="4.85546875" customWidth="1"/>
    <col min="26" max="28" width="10.28515625" customWidth="1"/>
    <col min="29" max="29" width="4.85546875" customWidth="1"/>
    <col min="30" max="30" width="8.85546875" customWidth="1"/>
    <col min="31" max="32" width="10.28515625" customWidth="1"/>
    <col min="33" max="33" width="10.140625" customWidth="1"/>
    <col min="34" max="36" width="8.85546875" customWidth="1"/>
    <col min="37" max="37" width="3.5703125" customWidth="1"/>
    <col min="38" max="40" width="13" customWidth="1"/>
    <col min="41" max="41" width="11" customWidth="1"/>
    <col min="42" max="43" width="10.28515625" customWidth="1"/>
    <col min="44" max="46" width="11.28515625" customWidth="1"/>
    <col min="47" max="47" width="10.7109375" customWidth="1"/>
    <col min="48" max="50" width="11" customWidth="1"/>
    <col min="51" max="52" width="8.5703125" customWidth="1"/>
    <col min="59" max="59" width="3.85546875" customWidth="1"/>
    <col min="60" max="60" width="9.42578125" customWidth="1"/>
    <col min="61" max="63" width="9.28515625" customWidth="1"/>
    <col min="64" max="66" width="8.42578125" customWidth="1"/>
    <col min="67" max="67" width="7.140625" customWidth="1"/>
    <col min="68" max="70" width="8.28515625" customWidth="1"/>
  </cols>
  <sheetData>
    <row r="1" spans="1:70">
      <c r="F1" s="249" t="s">
        <v>215</v>
      </c>
      <c r="N1" t="s">
        <v>234</v>
      </c>
      <c r="R1" t="s">
        <v>235</v>
      </c>
      <c r="V1" s="3" t="s">
        <v>233</v>
      </c>
      <c r="Z1" s="3"/>
      <c r="AA1" s="3"/>
      <c r="AB1" s="3"/>
    </row>
    <row r="2" spans="1:70" ht="15.75" thickBot="1">
      <c r="A2"/>
      <c r="B2" s="227" t="s">
        <v>224</v>
      </c>
      <c r="C2" s="2" t="s">
        <v>181</v>
      </c>
      <c r="D2" s="2"/>
      <c r="E2" s="6"/>
      <c r="F2" s="192" t="s">
        <v>22</v>
      </c>
      <c r="G2" s="192" t="s">
        <v>23</v>
      </c>
      <c r="H2" s="192" t="s">
        <v>24</v>
      </c>
      <c r="I2" s="201"/>
      <c r="J2" s="194" t="s">
        <v>228</v>
      </c>
      <c r="K2" s="201" t="s">
        <v>229</v>
      </c>
      <c r="L2" s="201" t="s">
        <v>230</v>
      </c>
      <c r="N2" s="16">
        <f>J3</f>
        <v>140.65747146000001</v>
      </c>
      <c r="O2" s="16">
        <f>K3</f>
        <v>35.955589500000002</v>
      </c>
      <c r="P2" s="16">
        <f>L3</f>
        <v>62.433999999999997</v>
      </c>
      <c r="R2" s="264">
        <f>J4</f>
        <v>140.66008915</v>
      </c>
      <c r="S2" s="264">
        <f>K4</f>
        <v>35.955909519999999</v>
      </c>
      <c r="T2">
        <f>L4</f>
        <v>78.424999999999997</v>
      </c>
      <c r="V2" s="3">
        <f>J6</f>
        <v>140.65775092999999</v>
      </c>
      <c r="W2" s="3">
        <f>K6</f>
        <v>35.956395980000003</v>
      </c>
      <c r="X2" s="3">
        <f>L6</f>
        <v>65.573999999999998</v>
      </c>
      <c r="Z2" s="3" t="s">
        <v>216</v>
      </c>
      <c r="AA2" s="3"/>
      <c r="AB2" s="138" t="s">
        <v>217</v>
      </c>
      <c r="AC2" s="54" t="s">
        <v>218</v>
      </c>
      <c r="AD2" s="54"/>
      <c r="AE2" s="54" t="s">
        <v>217</v>
      </c>
      <c r="AF2" s="54" t="s">
        <v>218</v>
      </c>
      <c r="AH2" t="s">
        <v>223</v>
      </c>
    </row>
    <row r="3" spans="1:70">
      <c r="A3"/>
      <c r="B3"/>
      <c r="C3" s="2" t="s">
        <v>226</v>
      </c>
      <c r="D3" s="2"/>
      <c r="E3" s="6"/>
      <c r="F3" s="14">
        <v>-3997505.6719999998</v>
      </c>
      <c r="G3" s="14">
        <v>3276878.5010000002</v>
      </c>
      <c r="H3" s="14">
        <v>3724240.6</v>
      </c>
      <c r="I3" s="201"/>
      <c r="J3" s="262">
        <v>140.65747146000001</v>
      </c>
      <c r="K3" s="151">
        <v>35.955589500000002</v>
      </c>
      <c r="L3" s="151">
        <v>62.433999999999997</v>
      </c>
      <c r="N3" s="265">
        <f>-SIN(RADIANS(N2))</f>
        <v>-0.63395509108637549</v>
      </c>
      <c r="O3" s="266">
        <f>COS(RADIANS(N2))</f>
        <v>-0.77336986137660257</v>
      </c>
      <c r="P3" s="267">
        <v>0</v>
      </c>
      <c r="R3" s="265">
        <f>-SIN(RADIANS(R2))</f>
        <v>-0.6339197572366938</v>
      </c>
      <c r="S3" s="266">
        <f>COS(RADIANS(R2))</f>
        <v>-0.77339882427177964</v>
      </c>
      <c r="T3" s="267">
        <v>0</v>
      </c>
      <c r="V3" s="236">
        <f>-SIN(RADIANS(V2))</f>
        <v>-0.63395131883457823</v>
      </c>
      <c r="W3" s="237">
        <f>COS(RADIANS(V2))</f>
        <v>-0.77337295359218439</v>
      </c>
      <c r="X3" s="238">
        <v>0</v>
      </c>
      <c r="Z3" s="3"/>
      <c r="AA3" s="14" t="s">
        <v>181</v>
      </c>
      <c r="AB3" s="14">
        <v>16.399999999999999</v>
      </c>
      <c r="AC3" s="2">
        <v>-24.3</v>
      </c>
      <c r="AD3" s="2" t="s">
        <v>219</v>
      </c>
      <c r="AE3" s="273">
        <f t="shared" ref="AE3" si="0">RADIANS(AB3/3600)</f>
        <v>7.9509443701963883E-5</v>
      </c>
      <c r="AF3" s="273">
        <f t="shared" ref="AF3" si="1">RADIANS(AC3/3600)</f>
        <v>-1.1780972450961724E-4</v>
      </c>
      <c r="AG3" s="2" t="s">
        <v>220</v>
      </c>
      <c r="AH3" s="17">
        <v>1</v>
      </c>
      <c r="AI3" s="18">
        <v>0</v>
      </c>
      <c r="AJ3" s="254">
        <f>-AH5</f>
        <v>1.1780972450961724E-4</v>
      </c>
    </row>
    <row r="4" spans="1:70">
      <c r="A4"/>
      <c r="B4"/>
      <c r="C4" s="2" t="s">
        <v>227</v>
      </c>
      <c r="D4" s="2"/>
      <c r="E4" s="6"/>
      <c r="F4" s="14">
        <v>-3997649.2650000001</v>
      </c>
      <c r="G4" s="14">
        <v>3276690.8509999998</v>
      </c>
      <c r="H4" s="14">
        <v>3724278.733</v>
      </c>
      <c r="I4" s="201"/>
      <c r="J4" s="194">
        <v>140.66008915</v>
      </c>
      <c r="K4" s="151">
        <v>35.955909519999999</v>
      </c>
      <c r="L4" s="151">
        <v>78.424999999999997</v>
      </c>
      <c r="N4" s="268">
        <f>-COS(RADIANS(N2))*SIN(RADIANS(O2))</f>
        <v>0.45409030034744002</v>
      </c>
      <c r="O4" s="269">
        <f>-SIN(RADIANS(N2))*SIN(RADIANS(O2))</f>
        <v>-0.37223180278293455</v>
      </c>
      <c r="P4" s="270">
        <f>COS(RADIANS(O2))</f>
        <v>0.80947234920492395</v>
      </c>
      <c r="R4" s="268">
        <f>-COS(RADIANS(R2))*SIN(RADIANS(S2))</f>
        <v>0.45411080284914618</v>
      </c>
      <c r="S4" s="269">
        <f>-SIN(RADIANS(R2))*SIN(RADIANS(S2))</f>
        <v>-0.37221392232105427</v>
      </c>
      <c r="T4" s="270">
        <f>COS(RADIANS(S2))</f>
        <v>0.80946906967844057</v>
      </c>
      <c r="V4" s="239">
        <f>-COS(RADIANS(V2))*SIN(RADIANS(W2))</f>
        <v>0.45410092766751664</v>
      </c>
      <c r="W4" s="240">
        <f>-SIN(RADIANS(V2))*SIN(RADIANS(W2))</f>
        <v>-0.37223681102588901</v>
      </c>
      <c r="X4" s="241">
        <f>COS(RADIANS(W2))</f>
        <v>0.80946408444647955</v>
      </c>
      <c r="Z4" s="3"/>
      <c r="AA4" s="14" t="s">
        <v>187</v>
      </c>
      <c r="AB4" s="14">
        <v>11.4</v>
      </c>
      <c r="AC4" s="2">
        <v>-17.399999999999999</v>
      </c>
      <c r="AD4" s="2" t="s">
        <v>219</v>
      </c>
      <c r="AE4" s="273">
        <f t="shared" ref="AE4:AE6" si="2">RADIANS(AB4/3600)</f>
        <v>5.5268759646487099E-5</v>
      </c>
      <c r="AF4" s="273">
        <f t="shared" ref="AF4:AF6" si="3">RADIANS(AC4/3600)</f>
        <v>-8.4357580513059246E-5</v>
      </c>
      <c r="AG4" s="2" t="s">
        <v>220</v>
      </c>
      <c r="AH4" s="20">
        <v>0</v>
      </c>
      <c r="AI4" s="2">
        <v>1</v>
      </c>
      <c r="AJ4" s="255">
        <f>-AI5</f>
        <v>-7.9509443701963883E-5</v>
      </c>
    </row>
    <row r="5" spans="1:70" ht="15.75" thickBot="1">
      <c r="A5"/>
      <c r="B5"/>
      <c r="C5" s="2" t="s">
        <v>181</v>
      </c>
      <c r="D5" s="2"/>
      <c r="E5" s="6"/>
      <c r="F5" s="14">
        <v>-3997892.281</v>
      </c>
      <c r="G5" s="14">
        <v>3276581.3810000001</v>
      </c>
      <c r="H5" s="14">
        <v>3724118.1140000001</v>
      </c>
      <c r="I5" s="201"/>
      <c r="J5" s="194">
        <v>140.66273518</v>
      </c>
      <c r="K5" s="151">
        <v>35.954110399999998</v>
      </c>
      <c r="L5" s="151">
        <v>80.087999999999994</v>
      </c>
      <c r="N5" s="222">
        <f>COS(RADIANS(N2))*COS(RADIANS(O2))</f>
        <v>-0.62602151849280485</v>
      </c>
      <c r="O5" s="271">
        <f>SIN(RADIANS(N2))*COS(RADIANS(O2))</f>
        <v>0.51316911687210987</v>
      </c>
      <c r="P5" s="272">
        <f>SIN(RADIANS(O2))</f>
        <v>0.58715799907066046</v>
      </c>
      <c r="R5" s="222">
        <f>COS(RADIANS(R2))*COS(RADIANS(S2))</f>
        <v>-0.62604242677367716</v>
      </c>
      <c r="S5" s="271">
        <f>SIN(RADIANS(R2))*COS(RADIANS(S2))</f>
        <v>0.51313843614116939</v>
      </c>
      <c r="T5" s="272">
        <f>SIN(RADIANS(S2))</f>
        <v>0.58716252029052396</v>
      </c>
      <c r="V5" s="242">
        <f>COS(RADIANS(V2))*COS(RADIANS(W2))</f>
        <v>-0.62601762981516729</v>
      </c>
      <c r="W5" s="243">
        <f>SIN(RADIANS(V2))*COS(RADIANS(W2))</f>
        <v>0.51316082388407014</v>
      </c>
      <c r="X5" s="244">
        <f>SIN(RADIANS(W2))</f>
        <v>0.58716939292781822</v>
      </c>
      <c r="Z5" s="3"/>
      <c r="AA5" s="14" t="s">
        <v>221</v>
      </c>
      <c r="AB5" s="14">
        <v>-1.9</v>
      </c>
      <c r="AC5" s="2">
        <v>-9.3000000000000007</v>
      </c>
      <c r="AD5" s="2" t="s">
        <v>219</v>
      </c>
      <c r="AE5" s="273">
        <f t="shared" si="2"/>
        <v>-9.2114599410811831E-6</v>
      </c>
      <c r="AF5" s="273">
        <f t="shared" si="3"/>
        <v>-4.5087672343186846E-5</v>
      </c>
      <c r="AG5" s="2" t="s">
        <v>220</v>
      </c>
      <c r="AH5" s="252">
        <f>AF3</f>
        <v>-1.1780972450961724E-4</v>
      </c>
      <c r="AI5" s="253">
        <f>AE3</f>
        <v>7.9509443701963883E-5</v>
      </c>
      <c r="AJ5" s="24">
        <v>1</v>
      </c>
    </row>
    <row r="6" spans="1:70">
      <c r="A6"/>
      <c r="B6"/>
      <c r="C6" s="31" t="s">
        <v>233</v>
      </c>
      <c r="E6" s="1"/>
      <c r="F6" s="14">
        <v>-3997482.9846999999</v>
      </c>
      <c r="G6" s="14">
        <v>3276827.304</v>
      </c>
      <c r="H6" s="14">
        <v>3724314.8804000001</v>
      </c>
      <c r="I6" s="200"/>
      <c r="J6" s="194">
        <v>140.65775092999999</v>
      </c>
      <c r="K6" s="151">
        <v>35.956395980000003</v>
      </c>
      <c r="L6" s="151">
        <v>65.573999999999998</v>
      </c>
      <c r="Q6" t="s">
        <v>213</v>
      </c>
      <c r="U6" t="s">
        <v>181</v>
      </c>
      <c r="Z6" s="3"/>
      <c r="AA6" s="14" t="s">
        <v>222</v>
      </c>
      <c r="AB6" s="14">
        <v>-4.5</v>
      </c>
      <c r="AC6" s="2">
        <v>13.6</v>
      </c>
      <c r="AD6" s="2" t="s">
        <v>219</v>
      </c>
      <c r="AE6" s="273">
        <f t="shared" si="2"/>
        <v>-2.1816615649929121E-5</v>
      </c>
      <c r="AF6" s="273">
        <f t="shared" si="3"/>
        <v>6.5934660630896893E-5</v>
      </c>
      <c r="AG6" s="2" t="s">
        <v>220</v>
      </c>
    </row>
    <row r="7" spans="1:70" ht="16.5" thickBot="1">
      <c r="B7" s="234" t="s">
        <v>209</v>
      </c>
      <c r="V7" s="3" t="s">
        <v>225</v>
      </c>
      <c r="AL7" s="3" t="s">
        <v>225</v>
      </c>
      <c r="AM7" t="s">
        <v>210</v>
      </c>
      <c r="BD7" t="s">
        <v>211</v>
      </c>
      <c r="BE7" t="s">
        <v>212</v>
      </c>
    </row>
    <row r="8" spans="1:70">
      <c r="A8" s="194" t="s">
        <v>207</v>
      </c>
      <c r="B8" s="232" t="s">
        <v>169</v>
      </c>
      <c r="C8" s="2"/>
      <c r="D8" s="2"/>
      <c r="E8" s="2"/>
      <c r="F8" s="316" t="s">
        <v>10</v>
      </c>
      <c r="G8" s="316"/>
      <c r="H8" s="316"/>
      <c r="I8" s="131"/>
      <c r="J8" s="316" t="s">
        <v>11</v>
      </c>
      <c r="K8" s="316"/>
      <c r="L8" s="316"/>
      <c r="M8" s="2"/>
      <c r="N8" s="316" t="s">
        <v>12</v>
      </c>
      <c r="O8" s="316"/>
      <c r="P8" s="316"/>
      <c r="Q8" s="2"/>
      <c r="R8" s="316" t="s">
        <v>13</v>
      </c>
      <c r="S8" s="316"/>
      <c r="T8" s="316"/>
      <c r="V8" s="317" t="s">
        <v>10</v>
      </c>
      <c r="W8" s="318"/>
      <c r="X8" s="318"/>
      <c r="Y8" s="245"/>
      <c r="Z8" s="318" t="s">
        <v>11</v>
      </c>
      <c r="AA8" s="318"/>
      <c r="AB8" s="318"/>
      <c r="AC8" s="18"/>
      <c r="AD8" s="318" t="s">
        <v>12</v>
      </c>
      <c r="AE8" s="318"/>
      <c r="AF8" s="318"/>
      <c r="AG8" s="18"/>
      <c r="AH8" s="318" t="s">
        <v>13</v>
      </c>
      <c r="AI8" s="318"/>
      <c r="AJ8" s="319"/>
      <c r="AK8" s="256"/>
      <c r="AL8" s="317" t="s">
        <v>10</v>
      </c>
      <c r="AM8" s="318"/>
      <c r="AN8" s="318"/>
      <c r="AO8" s="245"/>
      <c r="AP8" s="318" t="s">
        <v>11</v>
      </c>
      <c r="AQ8" s="318"/>
      <c r="AR8" s="318"/>
      <c r="AS8" s="18"/>
      <c r="AT8" s="318" t="s">
        <v>12</v>
      </c>
      <c r="AU8" s="318"/>
      <c r="AV8" s="318"/>
      <c r="AW8" s="18"/>
      <c r="AX8" s="318" t="s">
        <v>13</v>
      </c>
      <c r="AY8" s="318"/>
      <c r="AZ8" s="319"/>
      <c r="BD8" s="316" t="s">
        <v>10</v>
      </c>
      <c r="BE8" s="316"/>
      <c r="BF8" s="316"/>
      <c r="BG8" s="131"/>
      <c r="BH8" s="316" t="s">
        <v>11</v>
      </c>
      <c r="BI8" s="316"/>
      <c r="BJ8" s="316"/>
      <c r="BK8" s="2"/>
      <c r="BL8" s="316" t="s">
        <v>12</v>
      </c>
      <c r="BM8" s="316"/>
      <c r="BN8" s="316"/>
      <c r="BO8" s="2"/>
      <c r="BP8" s="316" t="s">
        <v>13</v>
      </c>
      <c r="BQ8" s="316"/>
      <c r="BR8" s="316"/>
    </row>
    <row r="9" spans="1:70">
      <c r="A9" s="194"/>
      <c r="B9" s="233"/>
      <c r="C9" s="2"/>
      <c r="D9" s="2"/>
      <c r="E9" s="2"/>
      <c r="F9" s="151" t="s">
        <v>4</v>
      </c>
      <c r="G9" s="152" t="s">
        <v>5</v>
      </c>
      <c r="H9" s="152" t="s">
        <v>6</v>
      </c>
      <c r="I9" s="131"/>
      <c r="J9" s="151" t="s">
        <v>4</v>
      </c>
      <c r="K9" s="152" t="s">
        <v>5</v>
      </c>
      <c r="L9" s="152" t="s">
        <v>6</v>
      </c>
      <c r="M9" s="2"/>
      <c r="N9" s="151" t="s">
        <v>4</v>
      </c>
      <c r="O9" s="152" t="s">
        <v>5</v>
      </c>
      <c r="P9" s="152" t="s">
        <v>6</v>
      </c>
      <c r="Q9" s="2"/>
      <c r="R9" s="151" t="s">
        <v>4</v>
      </c>
      <c r="S9" s="152" t="s">
        <v>5</v>
      </c>
      <c r="T9" s="152" t="s">
        <v>6</v>
      </c>
      <c r="V9" s="246" t="s">
        <v>5</v>
      </c>
      <c r="W9" s="152" t="s">
        <v>4</v>
      </c>
      <c r="X9" s="152" t="s">
        <v>6</v>
      </c>
      <c r="Y9" s="2"/>
      <c r="Z9" s="151" t="s">
        <v>5</v>
      </c>
      <c r="AA9" s="152" t="s">
        <v>4</v>
      </c>
      <c r="AB9" s="152" t="s">
        <v>6</v>
      </c>
      <c r="AC9" s="2"/>
      <c r="AD9" s="151" t="s">
        <v>5</v>
      </c>
      <c r="AE9" s="152" t="s">
        <v>4</v>
      </c>
      <c r="AF9" s="152" t="s">
        <v>6</v>
      </c>
      <c r="AG9" s="2"/>
      <c r="AH9" s="151" t="s">
        <v>5</v>
      </c>
      <c r="AI9" s="152" t="s">
        <v>4</v>
      </c>
      <c r="AJ9" s="247" t="s">
        <v>6</v>
      </c>
      <c r="AK9" s="257"/>
      <c r="AL9" s="246" t="s">
        <v>22</v>
      </c>
      <c r="AM9" s="152" t="s">
        <v>23</v>
      </c>
      <c r="AN9" s="152" t="s">
        <v>24</v>
      </c>
      <c r="AO9" s="131"/>
      <c r="AP9" s="151" t="s">
        <v>22</v>
      </c>
      <c r="AQ9" s="152" t="s">
        <v>23</v>
      </c>
      <c r="AR9" s="152" t="s">
        <v>24</v>
      </c>
      <c r="AS9" s="2"/>
      <c r="AT9" s="151" t="s">
        <v>22</v>
      </c>
      <c r="AU9" s="152" t="s">
        <v>23</v>
      </c>
      <c r="AV9" s="152" t="s">
        <v>24</v>
      </c>
      <c r="AW9" s="2"/>
      <c r="AX9" s="151" t="s">
        <v>22</v>
      </c>
      <c r="AY9" s="152" t="s">
        <v>23</v>
      </c>
      <c r="AZ9" s="247" t="s">
        <v>24</v>
      </c>
      <c r="BD9" s="151" t="s">
        <v>5</v>
      </c>
      <c r="BE9" s="152" t="s">
        <v>4</v>
      </c>
      <c r="BF9" s="152" t="s">
        <v>6</v>
      </c>
      <c r="BG9" s="2"/>
      <c r="BH9" s="151" t="s">
        <v>5</v>
      </c>
      <c r="BI9" s="152" t="s">
        <v>4</v>
      </c>
      <c r="BJ9" s="152" t="s">
        <v>6</v>
      </c>
      <c r="BK9" s="2"/>
      <c r="BL9" s="151" t="s">
        <v>5</v>
      </c>
      <c r="BM9" s="152" t="s">
        <v>4</v>
      </c>
      <c r="BN9" s="152" t="s">
        <v>6</v>
      </c>
      <c r="BO9" s="2"/>
      <c r="BP9" s="151" t="s">
        <v>5</v>
      </c>
      <c r="BQ9" s="152" t="s">
        <v>4</v>
      </c>
      <c r="BR9" s="152" t="s">
        <v>6</v>
      </c>
    </row>
    <row r="10" spans="1:70">
      <c r="A10" s="194" t="s">
        <v>203</v>
      </c>
      <c r="B10" s="233"/>
      <c r="C10" s="14" t="s">
        <v>32</v>
      </c>
      <c r="D10" s="2"/>
      <c r="E10" s="2"/>
      <c r="F10" s="14">
        <v>-12.658300000000001</v>
      </c>
      <c r="G10" s="124">
        <v>-12.740600000000001</v>
      </c>
      <c r="H10" s="124">
        <v>4.4447999999999999</v>
      </c>
      <c r="I10" s="124"/>
      <c r="J10" s="124">
        <v>-12.6585</v>
      </c>
      <c r="K10" s="14">
        <v>-12.740500000000001</v>
      </c>
      <c r="L10" s="14">
        <v>4.4428000000000001</v>
      </c>
      <c r="M10" s="14"/>
      <c r="N10" s="14">
        <v>-12.658099999999999</v>
      </c>
      <c r="O10" s="14">
        <v>-12.740500000000001</v>
      </c>
      <c r="P10" s="14">
        <v>4.4421999999999997</v>
      </c>
      <c r="Q10" s="14"/>
      <c r="R10" s="14">
        <v>-12.658300000000001</v>
      </c>
      <c r="S10" s="14">
        <v>-12.742699999999999</v>
      </c>
      <c r="T10" s="14">
        <v>4.4382999999999999</v>
      </c>
      <c r="V10" s="27">
        <f t="array" ref="V10:X10">MMULT(BD10:BF10,TRANSPOSE($AH$3:$AJ$5))</f>
        <v>-12.7400763593365</v>
      </c>
      <c r="W10" s="14">
        <v>-12.658653403575366</v>
      </c>
      <c r="X10" s="14">
        <v>4.4452945121848746</v>
      </c>
      <c r="Y10" s="2"/>
      <c r="Z10" s="2">
        <f t="array" ref="Z10:AB10">MMULT(BH10:BJ10,TRANSPOSE($AH$3:$AJ$5))</f>
        <v>-12.73997659495595</v>
      </c>
      <c r="AA10" s="2">
        <v>-12.658853244556479</v>
      </c>
      <c r="AB10" s="2">
        <v>4.4432944845020135</v>
      </c>
      <c r="AC10" s="2"/>
      <c r="AD10" s="2">
        <f t="array" ref="AD10:AF10">MMULT(BL10:BN10,TRANSPOSE($AH$3:$AJ$5))</f>
        <v>-12.739976665641784</v>
      </c>
      <c r="AE10" s="2">
        <v>-12.658453196850813</v>
      </c>
      <c r="AF10" s="2">
        <v>4.4426945163057905</v>
      </c>
      <c r="AG10" s="2"/>
      <c r="AH10" s="2">
        <f t="array" ref="AH10:AJ10">MMULT(BP10:BR10,TRANSPOSE($AH$3:$AJ$5))</f>
        <v>-12.742177125099708</v>
      </c>
      <c r="AI10" s="2">
        <v>-12.658652886763983</v>
      </c>
      <c r="AJ10" s="21">
        <v>4.4387947595852957</v>
      </c>
      <c r="AL10" s="27">
        <f t="array" ref="AL10:AN10">MMULT(V10:X10,$V$3:$X$5)</f>
        <v>-0.45455077787888065</v>
      </c>
      <c r="AM10" s="124">
        <v>16.84599825211907</v>
      </c>
      <c r="AN10" s="124">
        <v>-7.6365844075454907</v>
      </c>
      <c r="AO10" s="131"/>
      <c r="AP10" s="27">
        <f t="array" ref="AP10:AR10">MMULT(Z10:AB10,$V$3:$X$5)</f>
        <v>-0.45345271902482143</v>
      </c>
      <c r="AQ10" s="124">
        <v>16.844969149361415</v>
      </c>
      <c r="AR10" s="124">
        <v>-7.6379205266826862</v>
      </c>
      <c r="AS10" s="2"/>
      <c r="AT10" s="27">
        <f t="array" ref="AT10:AV10">MMULT(AD10:AF10,$V$3:$X$5)</f>
        <v>-0.45289542151102591</v>
      </c>
      <c r="AU10" s="124">
        <v>16.844512411371831</v>
      </c>
      <c r="AV10" s="124">
        <v>-7.6379489853944378</v>
      </c>
      <c r="AW10" s="2"/>
      <c r="AX10" s="27">
        <f t="array" ref="AX10:AZ10">MMULT(AH10:AJ10,$V$3:$X$5)</f>
        <v>-0.44914980025142937</v>
      </c>
      <c r="AY10" s="124">
        <v>16.844287316766902</v>
      </c>
      <c r="AZ10" s="124">
        <v>-7.6404004449933129</v>
      </c>
      <c r="BD10" s="14">
        <f>G10</f>
        <v>-12.740600000000001</v>
      </c>
      <c r="BE10" s="14">
        <f>F10</f>
        <v>-12.658300000000001</v>
      </c>
      <c r="BF10" s="14">
        <f>H10</f>
        <v>4.4447999999999999</v>
      </c>
      <c r="BG10" s="2"/>
      <c r="BH10" s="14">
        <f>K10</f>
        <v>-12.740500000000001</v>
      </c>
      <c r="BI10" s="14">
        <f>J10</f>
        <v>-12.6585</v>
      </c>
      <c r="BJ10" s="14">
        <f>L10</f>
        <v>4.4428000000000001</v>
      </c>
      <c r="BK10" s="2"/>
      <c r="BL10" s="14">
        <f>O10</f>
        <v>-12.740500000000001</v>
      </c>
      <c r="BM10" s="14">
        <f>N10</f>
        <v>-12.658099999999999</v>
      </c>
      <c r="BN10" s="14">
        <f>P10</f>
        <v>4.4421999999999997</v>
      </c>
      <c r="BO10" s="2"/>
      <c r="BP10" s="14">
        <f>S10</f>
        <v>-12.742699999999999</v>
      </c>
      <c r="BQ10" s="14">
        <f>R10</f>
        <v>-12.658300000000001</v>
      </c>
      <c r="BR10" s="14">
        <f>T10</f>
        <v>4.4382999999999999</v>
      </c>
    </row>
    <row r="11" spans="1:70">
      <c r="A11" s="194"/>
      <c r="B11" s="233"/>
      <c r="C11" s="14" t="s">
        <v>159</v>
      </c>
      <c r="D11" s="2"/>
      <c r="E11" s="2"/>
      <c r="F11" s="14"/>
      <c r="G11" s="124"/>
      <c r="H11" s="124"/>
      <c r="I11" s="124"/>
      <c r="J11" s="124"/>
      <c r="K11" s="14"/>
      <c r="L11" s="14"/>
      <c r="M11" s="14"/>
      <c r="N11" s="14"/>
      <c r="O11" s="14"/>
      <c r="P11" s="14"/>
      <c r="Q11" s="14"/>
      <c r="R11" s="14"/>
      <c r="S11" s="14"/>
      <c r="T11" s="14"/>
      <c r="V11" s="27"/>
      <c r="W11" s="14"/>
      <c r="X11" s="14"/>
      <c r="Y11" s="2"/>
      <c r="Z11" s="2"/>
      <c r="AA11" s="2"/>
      <c r="AB11" s="2"/>
      <c r="AC11" s="2"/>
      <c r="AD11" s="2"/>
      <c r="AE11" s="2"/>
      <c r="AF11" s="2"/>
      <c r="AG11" s="2"/>
      <c r="AH11" s="2"/>
      <c r="AI11" s="2"/>
      <c r="AJ11" s="21"/>
      <c r="AL11" s="20"/>
      <c r="AM11" s="2"/>
      <c r="AN11" s="2"/>
      <c r="AO11" s="2"/>
      <c r="AP11" s="2"/>
      <c r="AQ11" s="2"/>
      <c r="AR11" s="2"/>
      <c r="AS11" s="2"/>
      <c r="AT11" s="2"/>
      <c r="AU11" s="2"/>
      <c r="AV11" s="2"/>
      <c r="AW11" s="2"/>
      <c r="AX11" s="2"/>
      <c r="AY11" s="2"/>
      <c r="AZ11" s="21"/>
      <c r="BD11" s="2"/>
      <c r="BE11" s="2"/>
      <c r="BF11" s="2"/>
      <c r="BG11" s="2"/>
      <c r="BH11" s="2"/>
      <c r="BI11" s="2"/>
      <c r="BJ11" s="2"/>
      <c r="BK11" s="2"/>
      <c r="BL11" s="2"/>
      <c r="BM11" s="2"/>
      <c r="BN11" s="2"/>
      <c r="BO11" s="2"/>
      <c r="BP11" s="2"/>
      <c r="BQ11" s="2"/>
      <c r="BR11" s="2"/>
    </row>
    <row r="12" spans="1:70">
      <c r="A12" s="194">
        <v>7335</v>
      </c>
      <c r="B12" s="233" t="s">
        <v>201</v>
      </c>
      <c r="C12" s="14" t="s">
        <v>139</v>
      </c>
      <c r="D12" s="2"/>
      <c r="E12" s="2"/>
      <c r="F12" s="14">
        <v>-22.677299999999999</v>
      </c>
      <c r="G12" s="124">
        <v>-14.2729</v>
      </c>
      <c r="H12" s="124">
        <v>1.9E-3</v>
      </c>
      <c r="I12" s="124"/>
      <c r="J12" s="124">
        <v>-22.677900000000001</v>
      </c>
      <c r="K12" s="14">
        <v>-14.27223</v>
      </c>
      <c r="L12" s="14">
        <v>2E-3</v>
      </c>
      <c r="M12" s="14"/>
      <c r="N12" s="14">
        <v>-22.678000000000001</v>
      </c>
      <c r="O12" s="14">
        <v>-14.2721</v>
      </c>
      <c r="P12" s="14">
        <v>1.8E-3</v>
      </c>
      <c r="Q12" s="14"/>
      <c r="R12" s="14">
        <v>-22.6782</v>
      </c>
      <c r="S12" s="14">
        <v>-14.2722</v>
      </c>
      <c r="T12" s="14">
        <v>1.9E-3</v>
      </c>
      <c r="V12" s="27">
        <f t="array" ref="V12:X12">MMULT(BD12:BF12,TRANSPOSE($AH$3:$AJ$5))</f>
        <v>-14.272899776161523</v>
      </c>
      <c r="W12" s="14">
        <v>-22.677300151067943</v>
      </c>
      <c r="X12" s="14">
        <v>1.7784269092907703E-3</v>
      </c>
      <c r="Y12" s="2"/>
      <c r="Z12" s="14">
        <f t="array" ref="Z12:AB12">MMULT(BH12:BJ12,TRANSPOSE($AH$3:$AJ$5))</f>
        <v>-14.272229764380551</v>
      </c>
      <c r="AA12" s="14">
        <v>-22.67790015901889</v>
      </c>
      <c r="AB12" s="14">
        <v>1.8783002711091278E-3</v>
      </c>
      <c r="AC12" s="2"/>
      <c r="AD12" s="14">
        <f t="array" ref="AD12:AF12">MMULT(BL12:BN12,TRANSPOSE($AH$3:$AJ$5))</f>
        <v>-14.272099787942496</v>
      </c>
      <c r="AE12" s="14">
        <v>-22.678000143117</v>
      </c>
      <c r="AF12" s="14">
        <v>1.6782770049005712E-3</v>
      </c>
      <c r="AG12" s="2"/>
      <c r="AH12" s="14">
        <f t="array" ref="AH12:AJ12">MMULT(BP12:BR12,TRANSPOSE($AH$3:$AJ$5))</f>
        <v>-14.272199776161523</v>
      </c>
      <c r="AI12" s="14">
        <v>-22.678200151067944</v>
      </c>
      <c r="AJ12" s="28">
        <v>1.7782728839842818E-3</v>
      </c>
      <c r="AK12" s="3"/>
      <c r="AL12" s="27">
        <f t="array" ref="AL12:AN12">MMULT(V12:X12,$V$3:$X$5)</f>
        <v>-1.2505727255018675</v>
      </c>
      <c r="AM12" s="124">
        <v>19.480513166143695</v>
      </c>
      <c r="AN12" s="124">
        <v>-18.355415766653529</v>
      </c>
      <c r="AO12" s="2"/>
      <c r="AP12" s="27">
        <f t="array" ref="AP12:AR12">MMULT(Z12:AB12,$V$3:$X$5)</f>
        <v>-1.2513324670064301</v>
      </c>
      <c r="AQ12" s="124">
        <v>19.48026959329659</v>
      </c>
      <c r="AR12" s="124">
        <v>-18.355842808958975</v>
      </c>
      <c r="AS12" s="2"/>
      <c r="AT12" s="27">
        <f t="array" ref="AT12:AV12">MMULT(AD12:AF12,$V$3:$X$5)</f>
        <v>-1.2513350505214371</v>
      </c>
      <c r="AU12" s="124">
        <v>19.480103646692545</v>
      </c>
      <c r="AV12" s="124">
        <v>-18.356041190035203</v>
      </c>
      <c r="AW12" s="2"/>
      <c r="AX12" s="27">
        <f t="array" ref="AX12:AZ12">MMULT(AH12:AJ12,$V$3:$X$5)</f>
        <v>-1.2514250858373959</v>
      </c>
      <c r="AY12" s="124">
        <v>19.480306739166352</v>
      </c>
      <c r="AZ12" s="124">
        <v>-18.356144374768476</v>
      </c>
      <c r="BD12" s="14">
        <f>G12</f>
        <v>-14.2729</v>
      </c>
      <c r="BE12" s="14">
        <f>F12</f>
        <v>-22.677299999999999</v>
      </c>
      <c r="BF12" s="14">
        <f>H12</f>
        <v>1.9E-3</v>
      </c>
      <c r="BG12" s="2"/>
      <c r="BH12" s="14">
        <f>K12</f>
        <v>-14.27223</v>
      </c>
      <c r="BI12" s="14">
        <f>J12</f>
        <v>-22.677900000000001</v>
      </c>
      <c r="BJ12" s="14">
        <f>L12</f>
        <v>2E-3</v>
      </c>
      <c r="BK12" s="2"/>
      <c r="BL12" s="14">
        <f>O12</f>
        <v>-14.2721</v>
      </c>
      <c r="BM12" s="14">
        <f>N12</f>
        <v>-22.678000000000001</v>
      </c>
      <c r="BN12" s="14">
        <f>P12</f>
        <v>1.8E-3</v>
      </c>
      <c r="BO12" s="2"/>
      <c r="BP12" s="14">
        <f>S12</f>
        <v>-14.2722</v>
      </c>
      <c r="BQ12" s="14">
        <f>R12</f>
        <v>-22.6782</v>
      </c>
      <c r="BR12" s="14">
        <f>T12</f>
        <v>1.9E-3</v>
      </c>
    </row>
    <row r="13" spans="1:70">
      <c r="A13" s="194">
        <v>7334</v>
      </c>
      <c r="B13" s="233" t="s">
        <v>172</v>
      </c>
      <c r="C13" s="2" t="s">
        <v>25</v>
      </c>
      <c r="D13" s="2"/>
      <c r="E13" s="2"/>
      <c r="F13" s="14">
        <v>-89.353399999999993</v>
      </c>
      <c r="G13" s="124">
        <v>-25.133600000000001</v>
      </c>
      <c r="H13" s="124">
        <v>-3.2873999999999999</v>
      </c>
      <c r="I13" s="124"/>
      <c r="J13" s="124">
        <v>-89.355099999999993</v>
      </c>
      <c r="K13" s="14">
        <v>-25.132999999999999</v>
      </c>
      <c r="L13" s="14">
        <v>-3.2865000000000002</v>
      </c>
      <c r="M13" s="14"/>
      <c r="N13" s="14">
        <v>-89.355900000000005</v>
      </c>
      <c r="O13" s="14">
        <v>-25.131699999999999</v>
      </c>
      <c r="P13" s="14">
        <v>-3.2890000000000001</v>
      </c>
      <c r="Q13" s="14"/>
      <c r="R13" s="14">
        <v>-89.357900000000001</v>
      </c>
      <c r="S13" s="14">
        <v>-25.130600000000001</v>
      </c>
      <c r="T13" s="14">
        <v>-3.2883</v>
      </c>
      <c r="V13" s="27">
        <f t="array" ref="V13:X13">MMULT(BD13:BF13,TRANSPOSE($AH$3:$AJ$5))</f>
        <v>-25.133987287688353</v>
      </c>
      <c r="W13" s="14">
        <v>-89.353138620654761</v>
      </c>
      <c r="X13" s="14">
        <v>-3.291543456634944</v>
      </c>
      <c r="Y13" s="2"/>
      <c r="Z13" s="14">
        <f t="array" ref="Z13:AB13">MMULT(BH13:BJ13,TRANSPOSE($AH$3:$AJ$5))</f>
        <v>-25.1333871816596</v>
      </c>
      <c r="AA13" s="14">
        <v>-89.354838692213264</v>
      </c>
      <c r="AB13" s="14">
        <v>-3.2906436624868332</v>
      </c>
      <c r="AC13" s="2"/>
      <c r="AD13" s="14">
        <f t="array" ref="AD13:AF13">MMULT(BL13:BN13,TRANSPOSE($AH$3:$AJ$5))</f>
        <v>-25.132087476183912</v>
      </c>
      <c r="AE13" s="14">
        <v>-89.35563849343967</v>
      </c>
      <c r="AF13" s="14">
        <v>-3.29314387924703</v>
      </c>
      <c r="AG13" s="2"/>
      <c r="AH13" s="14">
        <f t="array" ref="AH13:AJ13">MMULT(BP13:BR13,TRANSPOSE($AH$3:$AJ$5))</f>
        <v>-25.130987393717106</v>
      </c>
      <c r="AI13" s="14">
        <v>-89.357638549096279</v>
      </c>
      <c r="AJ13" s="28">
        <v>-3.2924441678566145</v>
      </c>
      <c r="AK13" s="3"/>
      <c r="AL13" s="27">
        <f t="array" ref="AL13:AN13">MMULT(V13:X13,$V$3:$X$5)</f>
        <v>-22.58105451588575</v>
      </c>
      <c r="AM13" s="124">
        <v>51.009382207477678</v>
      </c>
      <c r="AN13" s="124">
        <v>-74.260850119215547</v>
      </c>
      <c r="AO13" s="2"/>
      <c r="AP13" s="27">
        <f t="array" ref="AP13:AR13">MMULT(Z13:AB13,$V$3:$X$5)</f>
        <v>-22.582770244965861</v>
      </c>
      <c r="AQ13" s="124">
        <v>51.010012670027578</v>
      </c>
      <c r="AR13" s="124">
        <v>-74.261697934499452</v>
      </c>
      <c r="AS13" s="2"/>
      <c r="AT13" s="27">
        <f t="array" ref="AT13:AV13">MMULT(AD13:AF13,$V$3:$X$5)</f>
        <v>-22.582392205674886</v>
      </c>
      <c r="AU13" s="124">
        <v>51.008022215130474</v>
      </c>
      <c r="AV13" s="124">
        <v>-74.263813395624183</v>
      </c>
      <c r="AW13" s="2"/>
      <c r="AX13" s="27">
        <f t="array" ref="AX13:AZ13">MMULT(AH13:AJ13,$V$3:$X$5)</f>
        <v>-22.584435863200778</v>
      </c>
      <c r="AY13" s="124">
        <v>51.008274999916992</v>
      </c>
      <c r="AZ13" s="124">
        <v>-74.265021519732784</v>
      </c>
      <c r="BD13" s="14">
        <f>G13</f>
        <v>-25.133600000000001</v>
      </c>
      <c r="BE13" s="14">
        <f>F13</f>
        <v>-89.353399999999993</v>
      </c>
      <c r="BF13" s="14">
        <f>H13</f>
        <v>-3.2873999999999999</v>
      </c>
      <c r="BG13" s="2"/>
      <c r="BH13" s="14">
        <f>K13</f>
        <v>-25.132999999999999</v>
      </c>
      <c r="BI13" s="14">
        <f>J13</f>
        <v>-89.355099999999993</v>
      </c>
      <c r="BJ13" s="14">
        <f>L13</f>
        <v>-3.2865000000000002</v>
      </c>
      <c r="BK13" s="2"/>
      <c r="BL13" s="14">
        <f>O13</f>
        <v>-25.131699999999999</v>
      </c>
      <c r="BM13" s="14">
        <f>N13</f>
        <v>-89.355900000000005</v>
      </c>
      <c r="BN13" s="14">
        <f>P13</f>
        <v>-3.2890000000000001</v>
      </c>
      <c r="BO13" s="2"/>
      <c r="BP13" s="14">
        <f>S13</f>
        <v>-25.130600000000001</v>
      </c>
      <c r="BQ13" s="14">
        <f>R13</f>
        <v>-89.357900000000001</v>
      </c>
      <c r="BR13" s="14">
        <f>T13</f>
        <v>-3.2883</v>
      </c>
    </row>
    <row r="14" spans="1:70">
      <c r="A14" s="194"/>
      <c r="B14" s="233"/>
      <c r="C14" s="2"/>
      <c r="D14" s="2"/>
      <c r="E14" s="2"/>
      <c r="F14" s="14"/>
      <c r="G14" s="124"/>
      <c r="H14" s="124"/>
      <c r="I14" s="124"/>
      <c r="J14" s="124"/>
      <c r="K14" s="14"/>
      <c r="L14" s="14"/>
      <c r="M14" s="14"/>
      <c r="N14" s="14"/>
      <c r="O14" s="14"/>
      <c r="P14" s="14"/>
      <c r="Q14" s="14"/>
      <c r="R14" s="14"/>
      <c r="S14" s="14"/>
      <c r="T14" s="14"/>
      <c r="V14" s="27"/>
      <c r="W14" s="14"/>
      <c r="X14" s="14"/>
      <c r="Y14" s="2"/>
      <c r="Z14" s="2"/>
      <c r="AA14" s="2"/>
      <c r="AB14" s="2"/>
      <c r="AC14" s="2"/>
      <c r="AD14" s="2"/>
      <c r="AE14" s="2"/>
      <c r="AF14" s="2"/>
      <c r="AG14" s="2"/>
      <c r="AH14" s="2"/>
      <c r="AI14" s="2"/>
      <c r="AJ14" s="21"/>
      <c r="AL14" s="20"/>
      <c r="AM14" s="2"/>
      <c r="AN14" s="2"/>
      <c r="AO14" s="2"/>
      <c r="AP14" s="2"/>
      <c r="AQ14" s="2"/>
      <c r="AR14" s="2"/>
      <c r="AS14" s="2"/>
      <c r="AT14" s="2"/>
      <c r="AU14" s="2"/>
      <c r="AV14" s="2"/>
      <c r="AW14" s="2"/>
      <c r="AX14" s="2"/>
      <c r="AY14" s="2"/>
      <c r="AZ14" s="21"/>
      <c r="BD14" s="2"/>
      <c r="BE14" s="2"/>
      <c r="BF14" s="2"/>
      <c r="BG14" s="2"/>
      <c r="BH14" s="2"/>
      <c r="BI14" s="2"/>
      <c r="BJ14" s="2"/>
      <c r="BK14" s="2"/>
      <c r="BL14" s="2"/>
      <c r="BM14" s="2"/>
      <c r="BN14" s="2"/>
      <c r="BO14" s="2"/>
      <c r="BP14" s="2"/>
      <c r="BQ14" s="2"/>
      <c r="BR14" s="2"/>
    </row>
    <row r="15" spans="1:70">
      <c r="A15" s="194">
        <v>1857</v>
      </c>
      <c r="B15" s="233" t="s">
        <v>173</v>
      </c>
      <c r="C15" s="2" t="s">
        <v>26</v>
      </c>
      <c r="D15" s="2"/>
      <c r="E15" s="2"/>
      <c r="F15" s="14">
        <v>-53.8508</v>
      </c>
      <c r="G15" s="124">
        <v>210.99250000000001</v>
      </c>
      <c r="H15" s="124">
        <v>12.7227</v>
      </c>
      <c r="I15" s="124"/>
      <c r="J15" s="124">
        <v>-53.849699999999999</v>
      </c>
      <c r="K15" s="14">
        <v>210.99189999999999</v>
      </c>
      <c r="L15" s="14">
        <v>12.722</v>
      </c>
      <c r="M15" s="14"/>
      <c r="N15" s="151" t="s">
        <v>206</v>
      </c>
      <c r="O15" s="151" t="s">
        <v>206</v>
      </c>
      <c r="P15" s="151" t="s">
        <v>206</v>
      </c>
      <c r="Q15" s="151"/>
      <c r="R15" s="151" t="s">
        <v>206</v>
      </c>
      <c r="S15" s="151" t="s">
        <v>206</v>
      </c>
      <c r="T15" s="151" t="s">
        <v>206</v>
      </c>
      <c r="V15" s="27">
        <f t="array" ref="V15:X15">MMULT(BD15:BF15,TRANSPOSE($AH$3:$AJ$5))</f>
        <v>210.99399885778203</v>
      </c>
      <c r="W15" s="14">
        <v>-53.851811574799385</v>
      </c>
      <c r="X15" s="14">
        <v>12.693561384550499</v>
      </c>
      <c r="Y15" s="2"/>
      <c r="Z15" s="14">
        <f t="array" ref="Z15:AB15">MMULT(BH15:BJ15,TRANSPOSE($AH$3:$AJ$5))</f>
        <v>210.9933987753152</v>
      </c>
      <c r="AA15" s="14">
        <v>-53.850711519142777</v>
      </c>
      <c r="AB15" s="14">
        <v>12.692861542696722</v>
      </c>
      <c r="AC15" s="2"/>
      <c r="AD15" s="197" t="str">
        <f>BL15</f>
        <v>-</v>
      </c>
      <c r="AE15" s="197" t="str">
        <f>BM15</f>
        <v>-</v>
      </c>
      <c r="AF15" s="197" t="str">
        <f>BN15</f>
        <v>-</v>
      </c>
      <c r="AG15" s="2"/>
      <c r="AH15" s="197" t="str">
        <f>BP15</f>
        <v>-</v>
      </c>
      <c r="AI15" s="197" t="str">
        <f>BQ15</f>
        <v>-</v>
      </c>
      <c r="AJ15" s="259" t="str">
        <f>BR15</f>
        <v>-</v>
      </c>
      <c r="AK15" s="198"/>
      <c r="AL15" s="27">
        <f t="array" ref="AL15:AN15">MMULT(V15:X15,$V$3:$X$5)</f>
        <v>-166.16047464663478</v>
      </c>
      <c r="AM15" s="124">
        <v>-136.61758706017952</v>
      </c>
      <c r="AN15" s="124">
        <v>-36.137836619920805</v>
      </c>
      <c r="AO15" s="2"/>
      <c r="AP15" s="27">
        <f t="array" ref="AP15:AR15">MMULT(Z15:AB15,$V$3:$X$5)</f>
        <v>-166.1591565739308</v>
      </c>
      <c r="AQ15" s="124">
        <v>-136.61789158526159</v>
      </c>
      <c r="AR15" s="124">
        <v>-36.137357090092308</v>
      </c>
      <c r="AS15" s="2"/>
      <c r="AT15" s="2"/>
      <c r="AU15" s="2"/>
      <c r="AV15" s="2"/>
      <c r="AW15" s="2"/>
      <c r="AX15" s="2"/>
      <c r="AY15" s="2"/>
      <c r="AZ15" s="21"/>
      <c r="BD15" s="14">
        <f>G15</f>
        <v>210.99250000000001</v>
      </c>
      <c r="BE15" s="14">
        <f>F15</f>
        <v>-53.8508</v>
      </c>
      <c r="BF15" s="14">
        <f>H15</f>
        <v>12.7227</v>
      </c>
      <c r="BG15" s="2"/>
      <c r="BH15" s="14">
        <f>K15</f>
        <v>210.99189999999999</v>
      </c>
      <c r="BI15" s="14">
        <f>J15</f>
        <v>-53.849699999999999</v>
      </c>
      <c r="BJ15" s="14">
        <f>L15</f>
        <v>12.722</v>
      </c>
      <c r="BK15" s="2"/>
      <c r="BL15" s="14" t="str">
        <f>O15</f>
        <v>-</v>
      </c>
      <c r="BM15" s="14" t="str">
        <f>N15</f>
        <v>-</v>
      </c>
      <c r="BN15" s="14" t="str">
        <f>P15</f>
        <v>-</v>
      </c>
      <c r="BO15" s="2"/>
      <c r="BP15" s="14" t="str">
        <f>S15</f>
        <v>-</v>
      </c>
      <c r="BQ15" s="14" t="str">
        <f>R15</f>
        <v>-</v>
      </c>
      <c r="BR15" s="14" t="str">
        <f>T15</f>
        <v>-</v>
      </c>
    </row>
    <row r="16" spans="1:70">
      <c r="A16" s="194"/>
      <c r="B16" s="233"/>
      <c r="C16" s="2"/>
      <c r="D16" s="2"/>
      <c r="E16" s="2"/>
      <c r="F16" s="14"/>
      <c r="G16" s="124"/>
      <c r="H16" s="124"/>
      <c r="I16" s="124"/>
      <c r="J16" s="124"/>
      <c r="K16" s="14"/>
      <c r="L16" s="14"/>
      <c r="M16" s="14"/>
      <c r="N16" s="14"/>
      <c r="O16" s="14"/>
      <c r="P16" s="14"/>
      <c r="Q16" s="14"/>
      <c r="R16" s="14"/>
      <c r="S16" s="14"/>
      <c r="T16" s="14"/>
      <c r="V16" s="27"/>
      <c r="W16" s="14"/>
      <c r="X16" s="14"/>
      <c r="Y16" s="2"/>
      <c r="Z16" s="2"/>
      <c r="AA16" s="2"/>
      <c r="AB16" s="2"/>
      <c r="AC16" s="2"/>
      <c r="AD16" s="2"/>
      <c r="AE16" s="2"/>
      <c r="AF16" s="2"/>
      <c r="AG16" s="2"/>
      <c r="AH16" s="2"/>
      <c r="AI16" s="2"/>
      <c r="AJ16" s="21"/>
      <c r="AL16" s="20"/>
      <c r="AM16" s="2"/>
      <c r="AN16" s="2"/>
      <c r="AO16" s="2"/>
      <c r="AP16" s="2"/>
      <c r="AQ16" s="2"/>
      <c r="AR16" s="2"/>
      <c r="AS16" s="2"/>
      <c r="AT16" s="2"/>
      <c r="AU16" s="2"/>
      <c r="AV16" s="2"/>
      <c r="AW16" s="2"/>
      <c r="AX16" s="2"/>
      <c r="AY16" s="2"/>
      <c r="AZ16" s="21"/>
      <c r="BD16" s="2"/>
      <c r="BE16" s="2"/>
      <c r="BF16" s="2"/>
      <c r="BG16" s="2"/>
      <c r="BH16" s="2"/>
      <c r="BI16" s="2"/>
      <c r="BJ16" s="2"/>
      <c r="BK16" s="2"/>
      <c r="BL16" s="2"/>
      <c r="BM16" s="2"/>
      <c r="BN16" s="2"/>
      <c r="BO16" s="2"/>
      <c r="BP16" s="2"/>
      <c r="BQ16" s="2"/>
      <c r="BR16" s="2"/>
    </row>
    <row r="17" spans="1:70">
      <c r="A17" s="194">
        <v>1856</v>
      </c>
      <c r="B17" s="233" t="s">
        <v>208</v>
      </c>
      <c r="C17" s="2" t="s">
        <v>205</v>
      </c>
      <c r="D17" s="2"/>
      <c r="E17" s="2"/>
      <c r="F17" s="14">
        <v>-253.4546</v>
      </c>
      <c r="G17" s="124">
        <v>449.73410000000001</v>
      </c>
      <c r="H17" s="124">
        <v>14.408300000000001</v>
      </c>
      <c r="I17" s="124"/>
      <c r="J17" s="152" t="s">
        <v>206</v>
      </c>
      <c r="K17" s="151" t="s">
        <v>206</v>
      </c>
      <c r="L17" s="151" t="s">
        <v>206</v>
      </c>
      <c r="M17" s="151"/>
      <c r="N17" s="151" t="s">
        <v>206</v>
      </c>
      <c r="O17" s="151" t="s">
        <v>206</v>
      </c>
      <c r="P17" s="151" t="s">
        <v>206</v>
      </c>
      <c r="Q17" s="151"/>
      <c r="R17" s="151" t="s">
        <v>206</v>
      </c>
      <c r="S17" s="151" t="s">
        <v>206</v>
      </c>
      <c r="T17" s="151" t="s">
        <v>206</v>
      </c>
      <c r="V17" s="27">
        <f t="array" ref="V17:X17">MMULT(BD17:BF17,TRANSPOSE($AH$3:$AJ$5))</f>
        <v>449.73579743785365</v>
      </c>
      <c r="W17" s="14">
        <v>-253.45574559591768</v>
      </c>
      <c r="X17" s="14">
        <v>14.335164915326716</v>
      </c>
      <c r="Y17" s="2"/>
      <c r="Z17" s="197" t="str">
        <f>BH17</f>
        <v>-</v>
      </c>
      <c r="AA17" s="197" t="str">
        <f>BI17</f>
        <v>-</v>
      </c>
      <c r="AB17" s="197" t="str">
        <f>BJ17</f>
        <v>-</v>
      </c>
      <c r="AC17" s="2"/>
      <c r="AD17" s="197" t="str">
        <f>BL17</f>
        <v>-</v>
      </c>
      <c r="AE17" s="197" t="str">
        <f>BM17</f>
        <v>-</v>
      </c>
      <c r="AF17" s="197" t="str">
        <f>BN17</f>
        <v>-</v>
      </c>
      <c r="AG17" s="2"/>
      <c r="AH17" s="197" t="str">
        <f>BP17</f>
        <v>-</v>
      </c>
      <c r="AI17" s="197" t="str">
        <f>BQ17</f>
        <v>-</v>
      </c>
      <c r="AJ17" s="259" t="str">
        <f>BR17</f>
        <v>-</v>
      </c>
      <c r="AK17" s="198"/>
      <c r="AL17" s="27">
        <f t="array" ref="AL17:AN17">MMULT(V17:X17,$V$3:$X$5)</f>
        <v>-409.17915707391876</v>
      </c>
      <c r="AM17" s="124">
        <v>-246.11169848537276</v>
      </c>
      <c r="AN17" s="124">
        <v>-196.74615297564679</v>
      </c>
      <c r="AO17" s="2"/>
      <c r="AP17" s="14"/>
      <c r="AQ17" s="124"/>
      <c r="AR17" s="124"/>
      <c r="AS17" s="2"/>
      <c r="AT17" s="2"/>
      <c r="AU17" s="2"/>
      <c r="AV17" s="2"/>
      <c r="AW17" s="2"/>
      <c r="AX17" s="2"/>
      <c r="AY17" s="2"/>
      <c r="AZ17" s="21"/>
      <c r="BD17" s="14">
        <f>G17</f>
        <v>449.73410000000001</v>
      </c>
      <c r="BE17" s="14">
        <f>F17</f>
        <v>-253.4546</v>
      </c>
      <c r="BF17" s="14">
        <f>H17</f>
        <v>14.408300000000001</v>
      </c>
      <c r="BG17" s="2"/>
      <c r="BH17" s="14" t="str">
        <f>K17</f>
        <v>-</v>
      </c>
      <c r="BI17" s="14" t="str">
        <f>J17</f>
        <v>-</v>
      </c>
      <c r="BJ17" s="14" t="str">
        <f>L17</f>
        <v>-</v>
      </c>
      <c r="BK17" s="2"/>
      <c r="BL17" s="14" t="str">
        <f>O17</f>
        <v>-</v>
      </c>
      <c r="BM17" s="14" t="str">
        <f>N17</f>
        <v>-</v>
      </c>
      <c r="BN17" s="14" t="str">
        <f>P17</f>
        <v>-</v>
      </c>
      <c r="BO17" s="2"/>
      <c r="BP17" s="14" t="str">
        <f>S17</f>
        <v>-</v>
      </c>
      <c r="BQ17" s="14" t="str">
        <f>R17</f>
        <v>-</v>
      </c>
      <c r="BR17" s="14" t="str">
        <f>T17</f>
        <v>-</v>
      </c>
    </row>
    <row r="18" spans="1:70">
      <c r="A18" s="194"/>
      <c r="B18" s="233"/>
      <c r="C18" s="2"/>
      <c r="D18" s="2"/>
      <c r="E18" s="2"/>
      <c r="F18" s="14"/>
      <c r="G18" s="124"/>
      <c r="H18" s="124"/>
      <c r="I18" s="124"/>
      <c r="J18" s="124"/>
      <c r="K18" s="14"/>
      <c r="L18" s="14"/>
      <c r="M18" s="14"/>
      <c r="N18" s="14"/>
      <c r="O18" s="14"/>
      <c r="P18" s="14"/>
      <c r="Q18" s="14"/>
      <c r="R18" s="14"/>
      <c r="S18" s="14"/>
      <c r="T18" s="14"/>
      <c r="V18" s="27"/>
      <c r="W18" s="14"/>
      <c r="X18" s="14"/>
      <c r="Y18" s="2"/>
      <c r="Z18" s="2"/>
      <c r="AA18" s="2"/>
      <c r="AB18" s="2"/>
      <c r="AC18" s="2"/>
      <c r="AD18" s="2"/>
      <c r="AE18" s="2"/>
      <c r="AF18" s="2"/>
      <c r="AG18" s="2"/>
      <c r="AH18" s="2"/>
      <c r="AI18" s="2"/>
      <c r="AJ18" s="21"/>
      <c r="AL18" s="20"/>
      <c r="AM18" s="2"/>
      <c r="AN18" s="2"/>
      <c r="AO18" s="2"/>
      <c r="AP18" s="2"/>
      <c r="AQ18" s="2"/>
      <c r="AR18" s="2"/>
      <c r="AS18" s="2"/>
      <c r="AT18" s="2"/>
      <c r="AU18" s="2"/>
      <c r="AV18" s="2"/>
      <c r="AW18" s="2"/>
      <c r="AX18" s="2"/>
      <c r="AY18" s="2"/>
      <c r="AZ18" s="21"/>
      <c r="BD18" s="2"/>
      <c r="BE18" s="2"/>
      <c r="BF18" s="2"/>
      <c r="BG18" s="2"/>
      <c r="BH18" s="2"/>
      <c r="BI18" s="2"/>
      <c r="BJ18" s="2"/>
      <c r="BK18" s="2"/>
      <c r="BL18" s="2"/>
      <c r="BM18" s="2"/>
      <c r="BN18" s="2"/>
      <c r="BO18" s="2"/>
      <c r="BP18" s="2"/>
      <c r="BQ18" s="2"/>
      <c r="BR18" s="2"/>
    </row>
    <row r="19" spans="1:70">
      <c r="A19" s="9" t="s">
        <v>186</v>
      </c>
      <c r="B19" s="233" t="s">
        <v>170</v>
      </c>
      <c r="C19" s="2" t="s">
        <v>21</v>
      </c>
      <c r="D19" s="2"/>
      <c r="E19" s="2"/>
      <c r="F19" s="14">
        <v>-113.4113</v>
      </c>
      <c r="G19" s="124">
        <v>-6.8465999999999996</v>
      </c>
      <c r="H19" s="124">
        <v>-7.7716000000000003</v>
      </c>
      <c r="I19" s="124"/>
      <c r="J19" s="124">
        <v>-113.4131</v>
      </c>
      <c r="K19" s="14">
        <v>-6.8449</v>
      </c>
      <c r="L19" s="14">
        <v>-7.7689000000000004</v>
      </c>
      <c r="M19" s="14"/>
      <c r="N19" s="151" t="s">
        <v>206</v>
      </c>
      <c r="O19" s="151" t="s">
        <v>206</v>
      </c>
      <c r="P19" s="151" t="s">
        <v>206</v>
      </c>
      <c r="Q19" s="151"/>
      <c r="R19" s="151" t="s">
        <v>206</v>
      </c>
      <c r="S19" s="151" t="s">
        <v>206</v>
      </c>
      <c r="T19" s="151" t="s">
        <v>206</v>
      </c>
      <c r="V19" s="27">
        <f t="array" ref="V19:X19">MMULT(BD19:BF19,TRANSPOSE($AH$3:$AJ$5))</f>
        <v>-6.8475155700549983</v>
      </c>
      <c r="W19" s="14">
        <v>-113.41068208440733</v>
      </c>
      <c r="X19" s="14">
        <v>-7.7798106733126895</v>
      </c>
      <c r="Y19" s="2"/>
      <c r="Z19" s="14">
        <f t="array" ref="Z19:AB19">MMULT(BH19:BJ19,TRANSPOSE($AH$3:$AJ$5))</f>
        <v>-6.8458152519687427</v>
      </c>
      <c r="AA19" s="14">
        <v>-113.41248229908282</v>
      </c>
      <c r="AB19" s="14">
        <v>-7.7771110167062201</v>
      </c>
      <c r="AC19" s="2"/>
      <c r="AD19" s="197" t="str">
        <f t="shared" ref="AD19:AF20" si="4">BL19</f>
        <v>-</v>
      </c>
      <c r="AE19" s="197" t="str">
        <f t="shared" si="4"/>
        <v>-</v>
      </c>
      <c r="AF19" s="197" t="str">
        <f t="shared" si="4"/>
        <v>-</v>
      </c>
      <c r="AG19" s="2"/>
      <c r="AH19" s="197" t="str">
        <f t="shared" ref="AH19:AJ20" si="5">BP19</f>
        <v>-</v>
      </c>
      <c r="AI19" s="197" t="str">
        <f t="shared" si="5"/>
        <v>-</v>
      </c>
      <c r="AJ19" s="259" t="str">
        <f t="shared" si="5"/>
        <v>-</v>
      </c>
      <c r="AK19" s="198"/>
      <c r="AL19" s="27">
        <f t="array" ref="AL19:AN19">MMULT(V19:X19,$V$3:$X$5)</f>
        <v>-42.288605777440551</v>
      </c>
      <c r="AM19" s="124">
        <v>43.519019921773392</v>
      </c>
      <c r="AN19" s="124">
        <v>-96.369940650047909</v>
      </c>
      <c r="AO19" s="2"/>
      <c r="AP19" s="27">
        <f t="array" ref="AP19:AR19">MMULT(Z19:AB19,$V$3:$X$5)</f>
        <v>-42.292191208118012</v>
      </c>
      <c r="AQ19" s="124">
        <v>43.519760405931322</v>
      </c>
      <c r="AR19" s="124">
        <v>-96.369812703441283</v>
      </c>
      <c r="AS19" s="2"/>
      <c r="AT19" s="2"/>
      <c r="AU19" s="2"/>
      <c r="AV19" s="2"/>
      <c r="AW19" s="2"/>
      <c r="AX19" s="2"/>
      <c r="AY19" s="2"/>
      <c r="AZ19" s="21"/>
      <c r="BD19" s="14">
        <f>G19</f>
        <v>-6.8465999999999996</v>
      </c>
      <c r="BE19" s="14">
        <f>F19</f>
        <v>-113.4113</v>
      </c>
      <c r="BF19" s="14">
        <f>H19</f>
        <v>-7.7716000000000003</v>
      </c>
      <c r="BG19" s="2"/>
      <c r="BH19" s="14">
        <f>K19</f>
        <v>-6.8449</v>
      </c>
      <c r="BI19" s="14">
        <f>J19</f>
        <v>-113.4131</v>
      </c>
      <c r="BJ19" s="14">
        <f>L19</f>
        <v>-7.7689000000000004</v>
      </c>
      <c r="BK19" s="2"/>
      <c r="BL19" s="14" t="str">
        <f>O19</f>
        <v>-</v>
      </c>
      <c r="BM19" s="14" t="str">
        <f>N19</f>
        <v>-</v>
      </c>
      <c r="BN19" s="14" t="str">
        <f>P19</f>
        <v>-</v>
      </c>
      <c r="BO19" s="2"/>
      <c r="BP19" s="14" t="str">
        <f>S19</f>
        <v>-</v>
      </c>
      <c r="BQ19" s="14" t="str">
        <f>R19</f>
        <v>-</v>
      </c>
      <c r="BR19" s="14" t="str">
        <f>T19</f>
        <v>-</v>
      </c>
    </row>
    <row r="20" spans="1:70" ht="15.75" thickBot="1">
      <c r="A20" s="194"/>
      <c r="B20" s="233"/>
      <c r="C20" s="2" t="s">
        <v>37</v>
      </c>
      <c r="D20" s="2"/>
      <c r="E20" s="2"/>
      <c r="F20" s="14">
        <v>-104.3361</v>
      </c>
      <c r="G20" s="124">
        <v>133.97370000000001</v>
      </c>
      <c r="H20" s="124">
        <v>0.1946</v>
      </c>
      <c r="I20" s="124"/>
      <c r="J20" s="124">
        <v>-104.33199999999999</v>
      </c>
      <c r="K20" s="14">
        <v>133.97790000000001</v>
      </c>
      <c r="L20" s="14">
        <v>0.21790000000000001</v>
      </c>
      <c r="M20" s="14"/>
      <c r="N20" s="151" t="s">
        <v>206</v>
      </c>
      <c r="O20" s="151" t="s">
        <v>206</v>
      </c>
      <c r="P20" s="151" t="s">
        <v>206</v>
      </c>
      <c r="Q20" s="151"/>
      <c r="R20" s="151" t="s">
        <v>206</v>
      </c>
      <c r="S20" s="151" t="s">
        <v>206</v>
      </c>
      <c r="T20" s="151" t="s">
        <v>206</v>
      </c>
      <c r="V20" s="45">
        <f t="array" ref="V20:X20">MMULT(BD20:BF20,TRANSPOSE($AH$3:$AJ$5))</f>
        <v>133.97372292577239</v>
      </c>
      <c r="W20" s="29">
        <v>-104.33611547253774</v>
      </c>
      <c r="X20" s="29">
        <v>0.17052089004243343</v>
      </c>
      <c r="Y20" s="23"/>
      <c r="Z20" s="29">
        <f t="array" ref="Z20:AB20">MMULT(BH20:BJ20,TRANSPOSE($AH$3:$AJ$5))</f>
        <v>133.97792567073898</v>
      </c>
      <c r="AA20" s="29">
        <v>-104.33201732510777</v>
      </c>
      <c r="AB20" s="29">
        <v>0.19382072123030966</v>
      </c>
      <c r="AC20" s="23"/>
      <c r="AD20" s="260" t="str">
        <f t="shared" si="4"/>
        <v>-</v>
      </c>
      <c r="AE20" s="260" t="str">
        <f t="shared" si="4"/>
        <v>-</v>
      </c>
      <c r="AF20" s="260" t="str">
        <f t="shared" si="4"/>
        <v>-</v>
      </c>
      <c r="AG20" s="23"/>
      <c r="AH20" s="260" t="str">
        <f t="shared" si="5"/>
        <v>-</v>
      </c>
      <c r="AI20" s="260" t="str">
        <f t="shared" si="5"/>
        <v>-</v>
      </c>
      <c r="AJ20" s="261" t="str">
        <f t="shared" si="5"/>
        <v>-</v>
      </c>
      <c r="AK20" s="258"/>
      <c r="AL20" s="27">
        <f t="array" ref="AL20:AN20">MMULT(V20:X20,$V$3:$X$5)</f>
        <v>-132.41869424669466</v>
      </c>
      <c r="AM20" s="124">
        <v>-64.686406264095552</v>
      </c>
      <c r="AN20" s="124">
        <v>-84.356213538192193</v>
      </c>
      <c r="AO20" s="23"/>
      <c r="AP20" s="27">
        <f t="array" ref="AP20:AR20">MMULT(Z20:AB20,$V$3:$X$5)</f>
        <v>-132.4340837149546</v>
      </c>
      <c r="AQ20" s="124">
        <v>-64.679225474145269</v>
      </c>
      <c r="AR20" s="124">
        <v>-84.339215287300974</v>
      </c>
      <c r="AS20" s="23"/>
      <c r="AT20" s="23"/>
      <c r="AU20" s="23"/>
      <c r="AV20" s="23"/>
      <c r="AW20" s="23"/>
      <c r="AX20" s="23"/>
      <c r="AY20" s="23"/>
      <c r="AZ20" s="24"/>
      <c r="BD20" s="14">
        <f>G20</f>
        <v>133.97370000000001</v>
      </c>
      <c r="BE20" s="14">
        <f>F20</f>
        <v>-104.3361</v>
      </c>
      <c r="BF20" s="14">
        <f>H20</f>
        <v>0.1946</v>
      </c>
      <c r="BG20" s="2"/>
      <c r="BH20" s="14">
        <f>K20</f>
        <v>133.97790000000001</v>
      </c>
      <c r="BI20" s="14">
        <f>J20</f>
        <v>-104.33199999999999</v>
      </c>
      <c r="BJ20" s="14">
        <f>L20</f>
        <v>0.21790000000000001</v>
      </c>
      <c r="BK20" s="2"/>
      <c r="BL20" s="14" t="str">
        <f>O20</f>
        <v>-</v>
      </c>
      <c r="BM20" s="14" t="str">
        <f>N20</f>
        <v>-</v>
      </c>
      <c r="BN20" s="14" t="str">
        <f>P20</f>
        <v>-</v>
      </c>
      <c r="BO20" s="2"/>
      <c r="BP20" s="14" t="str">
        <f>S20</f>
        <v>-</v>
      </c>
      <c r="BQ20" s="14" t="str">
        <f>R20</f>
        <v>-</v>
      </c>
      <c r="BR20" s="14" t="str">
        <f>T20</f>
        <v>-</v>
      </c>
    </row>
    <row r="21" spans="1:70">
      <c r="B21" s="229"/>
      <c r="C21" s="7"/>
      <c r="D21" s="7"/>
      <c r="E21" s="7"/>
      <c r="F21" s="16"/>
      <c r="G21" s="129"/>
      <c r="H21" s="129"/>
      <c r="I21" s="134"/>
      <c r="J21" s="134"/>
      <c r="K21" s="7"/>
      <c r="L21" s="7"/>
      <c r="M21" s="7"/>
      <c r="N21" s="7"/>
      <c r="O21" s="7"/>
      <c r="P21" s="7"/>
      <c r="Q21" s="7"/>
      <c r="R21" s="7"/>
      <c r="S21" s="7"/>
      <c r="T21" s="7"/>
    </row>
    <row r="22" spans="1:70" ht="15.75" thickBot="1">
      <c r="B22" s="230"/>
      <c r="C22" s="36"/>
      <c r="D22" s="36"/>
      <c r="E22" s="36"/>
      <c r="F22" s="223"/>
      <c r="G22" s="224"/>
      <c r="H22" s="224"/>
      <c r="I22" s="225"/>
      <c r="J22" s="225"/>
      <c r="K22" s="36"/>
      <c r="L22" s="36"/>
      <c r="M22" s="36"/>
      <c r="N22" s="36"/>
      <c r="O22" s="36"/>
      <c r="P22" s="36"/>
      <c r="Q22" s="36"/>
      <c r="R22" s="36"/>
      <c r="S22" s="36"/>
      <c r="T22" s="36"/>
    </row>
    <row r="23" spans="1:70" ht="17.25" thickTop="1" thickBot="1">
      <c r="B23" s="235" t="s">
        <v>209</v>
      </c>
      <c r="F23" s="320" t="s">
        <v>61</v>
      </c>
      <c r="G23" s="320"/>
      <c r="H23" s="320"/>
      <c r="J23" s="321"/>
      <c r="K23" s="321"/>
      <c r="L23" s="321"/>
    </row>
    <row r="24" spans="1:70" ht="19.5" thickBot="1">
      <c r="B24" s="228" t="s">
        <v>169</v>
      </c>
      <c r="F24" s="316" t="s">
        <v>10</v>
      </c>
      <c r="G24" s="316"/>
      <c r="H24" s="316"/>
      <c r="J24" s="322" t="s">
        <v>11</v>
      </c>
      <c r="K24" s="323"/>
      <c r="L24" s="324"/>
      <c r="N24" s="322" t="s">
        <v>12</v>
      </c>
      <c r="O24" s="323"/>
      <c r="P24" s="324"/>
      <c r="R24" s="322" t="s">
        <v>13</v>
      </c>
      <c r="S24" s="323"/>
      <c r="T24" s="324"/>
      <c r="AM24" s="135"/>
      <c r="AN24" s="182" t="s">
        <v>110</v>
      </c>
      <c r="AO24" s="136"/>
    </row>
    <row r="25" spans="1:70" ht="15.75" thickBot="1">
      <c r="C25" s="2"/>
      <c r="D25" s="2"/>
      <c r="E25" s="2"/>
      <c r="F25" s="14" t="s">
        <v>22</v>
      </c>
      <c r="G25" s="124" t="s">
        <v>23</v>
      </c>
      <c r="H25" s="124" t="s">
        <v>24</v>
      </c>
      <c r="I25" s="131"/>
      <c r="J25" s="124" t="s">
        <v>22</v>
      </c>
      <c r="K25" s="14" t="s">
        <v>23</v>
      </c>
      <c r="L25" s="14" t="s">
        <v>24</v>
      </c>
      <c r="N25" s="14" t="s">
        <v>22</v>
      </c>
      <c r="O25" s="14" t="s">
        <v>23</v>
      </c>
      <c r="P25" s="14" t="s">
        <v>24</v>
      </c>
      <c r="R25" s="14" t="s">
        <v>22</v>
      </c>
      <c r="S25" s="14" t="s">
        <v>23</v>
      </c>
      <c r="T25" s="14" t="s">
        <v>24</v>
      </c>
      <c r="AM25" s="137" t="s">
        <v>22</v>
      </c>
      <c r="AN25" s="137" t="s">
        <v>23</v>
      </c>
      <c r="AO25" s="137" t="s">
        <v>24</v>
      </c>
      <c r="AP25" s="138" t="s">
        <v>111</v>
      </c>
      <c r="AQ25" s="138" t="s">
        <v>112</v>
      </c>
      <c r="AR25" s="138" t="s">
        <v>113</v>
      </c>
      <c r="AS25" s="142" t="s">
        <v>128</v>
      </c>
    </row>
    <row r="26" spans="1:70">
      <c r="A26" s="9" t="s">
        <v>186</v>
      </c>
      <c r="B26" s="227" t="s">
        <v>170</v>
      </c>
      <c r="C26" s="2" t="s">
        <v>21</v>
      </c>
      <c r="D26" s="2"/>
      <c r="E26" s="2"/>
      <c r="F26" s="124">
        <v>-3997525.3544000001</v>
      </c>
      <c r="G26" s="124">
        <v>3276870.8883000002</v>
      </c>
      <c r="H26" s="124">
        <v>3724218.5852000001</v>
      </c>
      <c r="I26" s="131"/>
      <c r="J26" s="124">
        <v>-3997525.358</v>
      </c>
      <c r="K26" s="124">
        <v>3276870.889</v>
      </c>
      <c r="L26" s="124">
        <v>3724218.5852999999</v>
      </c>
      <c r="N26" s="14"/>
      <c r="O26" s="14"/>
      <c r="P26" s="14"/>
      <c r="R26" s="14"/>
      <c r="S26" s="14"/>
      <c r="T26" s="14"/>
      <c r="AL26" s="2" t="s">
        <v>21</v>
      </c>
      <c r="AM26" s="17">
        <v>-3997525.3376000002</v>
      </c>
      <c r="AN26" s="18">
        <v>3276870.9400999998</v>
      </c>
      <c r="AO26" s="18">
        <v>3724218.4833999998</v>
      </c>
      <c r="AP26" s="18">
        <v>2.1999999999999999E-2</v>
      </c>
      <c r="AQ26" s="18">
        <v>1.9699999999999999E-2</v>
      </c>
      <c r="AR26" s="19">
        <v>5.9999999999999995E-4</v>
      </c>
      <c r="AS26" s="143">
        <v>2002</v>
      </c>
    </row>
    <row r="27" spans="1:70">
      <c r="C27" s="2"/>
      <c r="D27" s="2"/>
      <c r="E27" s="2"/>
      <c r="F27" s="124"/>
      <c r="G27" s="124"/>
      <c r="H27" s="124"/>
      <c r="I27" s="131"/>
      <c r="J27" s="124"/>
      <c r="K27" s="124"/>
      <c r="L27" s="124"/>
      <c r="N27" s="14"/>
      <c r="O27" s="14"/>
      <c r="P27" s="14"/>
      <c r="R27" s="14"/>
      <c r="S27" s="14"/>
      <c r="T27" s="14"/>
      <c r="AL27" s="2"/>
      <c r="AM27" s="20"/>
      <c r="AN27" s="2"/>
      <c r="AO27" s="2"/>
      <c r="AP27" s="2"/>
      <c r="AQ27" s="2"/>
      <c r="AR27" s="21"/>
    </row>
    <row r="28" spans="1:70">
      <c r="A28" s="9">
        <v>7334</v>
      </c>
      <c r="B28" s="227" t="s">
        <v>172</v>
      </c>
      <c r="C28" s="2" t="s">
        <v>25</v>
      </c>
      <c r="D28" s="2"/>
      <c r="E28" s="2"/>
      <c r="F28" s="124">
        <v>-3997505.6439</v>
      </c>
      <c r="G28" s="124">
        <v>3276878.3768000002</v>
      </c>
      <c r="H28" s="124">
        <v>3724240.6921999999</v>
      </c>
      <c r="I28" s="131"/>
      <c r="J28" s="124">
        <v>-3997505.6455999999</v>
      </c>
      <c r="K28" s="124">
        <v>3276878.3774999999</v>
      </c>
      <c r="L28" s="124">
        <v>3724240.6913000001</v>
      </c>
      <c r="N28" s="14">
        <v>-3997505.6452000001</v>
      </c>
      <c r="O28" s="14">
        <v>3276878.3755000001</v>
      </c>
      <c r="P28" s="14">
        <v>3724240.6893000002</v>
      </c>
      <c r="R28" s="14">
        <v>-3997505.6472</v>
      </c>
      <c r="S28" s="14">
        <v>3276878.3757000002</v>
      </c>
      <c r="T28" s="14">
        <v>3724240.6880000001</v>
      </c>
      <c r="AL28" s="2" t="s">
        <v>25</v>
      </c>
      <c r="AM28" s="20">
        <v>-3997505.6746999999</v>
      </c>
      <c r="AN28" s="2">
        <v>3276878.4849999999</v>
      </c>
      <c r="AO28" s="2">
        <v>3724240.6150000002</v>
      </c>
      <c r="AP28" s="2">
        <v>4.1999999999999997E-3</v>
      </c>
      <c r="AQ28" s="2">
        <v>4.7999999999999996E-3</v>
      </c>
      <c r="AR28" s="21">
        <v>2.5000000000000001E-3</v>
      </c>
      <c r="AS28" s="143">
        <v>2000</v>
      </c>
    </row>
    <row r="29" spans="1:70">
      <c r="C29" s="2"/>
      <c r="D29" s="2"/>
      <c r="E29" s="2"/>
      <c r="F29" s="124"/>
      <c r="G29" s="124"/>
      <c r="H29" s="124"/>
      <c r="I29" s="131"/>
      <c r="J29" s="124"/>
      <c r="K29" s="124"/>
      <c r="L29" s="124"/>
      <c r="N29" s="14"/>
      <c r="O29" s="14"/>
      <c r="P29" s="14"/>
      <c r="R29" s="14"/>
      <c r="S29" s="14"/>
      <c r="T29" s="14"/>
      <c r="AL29" s="2"/>
      <c r="AM29" s="20"/>
      <c r="AN29" s="2"/>
      <c r="AO29" s="2"/>
      <c r="AP29" s="2"/>
      <c r="AQ29" s="2"/>
      <c r="AR29" s="21"/>
    </row>
    <row r="30" spans="1:70">
      <c r="A30" s="9">
        <v>1857</v>
      </c>
      <c r="B30" s="227" t="s">
        <v>173</v>
      </c>
      <c r="C30" s="2" t="s">
        <v>26</v>
      </c>
      <c r="D30" s="2"/>
      <c r="E30" s="2"/>
      <c r="F30" s="124">
        <v>-3997649.2371</v>
      </c>
      <c r="G30" s="124">
        <v>3276690.7637</v>
      </c>
      <c r="H30" s="124">
        <v>3724278.8308999999</v>
      </c>
      <c r="I30" s="131"/>
      <c r="J30" s="124">
        <v>-3997649.2357999999</v>
      </c>
      <c r="K30" s="124">
        <v>3276690.7634000001</v>
      </c>
      <c r="L30" s="124">
        <v>3724278.8314</v>
      </c>
      <c r="N30" s="14"/>
      <c r="O30" s="14"/>
      <c r="P30" s="14"/>
      <c r="R30" s="14"/>
      <c r="S30" s="14"/>
      <c r="T30" s="14"/>
      <c r="AL30" s="2" t="s">
        <v>26</v>
      </c>
      <c r="AM30" s="20">
        <v>-3997649.2414000002</v>
      </c>
      <c r="AN30" s="2">
        <v>3276690.8465999998</v>
      </c>
      <c r="AO30" s="2">
        <v>3724278.7379000001</v>
      </c>
      <c r="AP30" s="2">
        <v>4.7000000000000002E-3</v>
      </c>
      <c r="AQ30" s="2">
        <v>5.8999999999999999E-3</v>
      </c>
      <c r="AR30" s="21">
        <v>1.1000000000000001E-3</v>
      </c>
      <c r="AS30" s="143">
        <v>2000</v>
      </c>
    </row>
    <row r="31" spans="1:70">
      <c r="C31" s="2"/>
      <c r="D31" s="2"/>
      <c r="E31" s="2"/>
      <c r="F31" s="124"/>
      <c r="G31" s="124"/>
      <c r="H31" s="124"/>
      <c r="I31" s="131"/>
      <c r="J31" s="124"/>
      <c r="K31" s="124"/>
      <c r="L31" s="124"/>
      <c r="N31" s="14"/>
      <c r="O31" s="14"/>
      <c r="P31" s="14"/>
      <c r="R31" s="14"/>
      <c r="S31" s="14"/>
      <c r="T31" s="14"/>
      <c r="AL31" s="2"/>
      <c r="AM31" s="20"/>
      <c r="AN31" s="2"/>
      <c r="AO31" s="2"/>
      <c r="AP31" s="2"/>
      <c r="AQ31" s="2"/>
      <c r="AR31" s="21"/>
    </row>
    <row r="32" spans="1:70" ht="15.75" thickBot="1">
      <c r="A32" s="9" t="s">
        <v>203</v>
      </c>
      <c r="C32" s="14" t="s">
        <v>32</v>
      </c>
      <c r="D32" s="14"/>
      <c r="E32" s="14"/>
      <c r="F32" s="124">
        <v>-3997483.5126999998</v>
      </c>
      <c r="G32" s="124">
        <v>3276844.2116</v>
      </c>
      <c r="H32" s="124">
        <v>3724307.3141999999</v>
      </c>
      <c r="I32" s="124"/>
      <c r="J32" s="124">
        <v>-3997483.5125000002</v>
      </c>
      <c r="K32" s="124">
        <v>3276844.2105</v>
      </c>
      <c r="L32" s="124">
        <v>3724307.3128999998</v>
      </c>
      <c r="N32" s="14">
        <v>-3997483.5118999998</v>
      </c>
      <c r="O32" s="14">
        <v>3276844.2100999998</v>
      </c>
      <c r="P32" s="14">
        <v>3724307.3128</v>
      </c>
      <c r="R32" s="14">
        <v>-3997483.5082</v>
      </c>
      <c r="S32" s="14">
        <v>3276844.2097999998</v>
      </c>
      <c r="T32" s="14">
        <v>3724307.3103999998</v>
      </c>
      <c r="AL32" s="14" t="s">
        <v>32</v>
      </c>
      <c r="AM32" s="22">
        <v>-3997484.3454</v>
      </c>
      <c r="AN32" s="23">
        <v>3276846.8388</v>
      </c>
      <c r="AO32" s="23">
        <v>3724296.5296</v>
      </c>
      <c r="AP32" s="23">
        <v>2.3300000000000001E-2</v>
      </c>
      <c r="AQ32" s="23">
        <v>2.5000000000000001E-2</v>
      </c>
      <c r="AR32" s="24">
        <v>1.95E-2</v>
      </c>
      <c r="AS32" s="143">
        <v>2000</v>
      </c>
    </row>
    <row r="33" spans="1:50">
      <c r="C33" s="14" t="s">
        <v>159</v>
      </c>
      <c r="D33" s="16"/>
      <c r="E33" s="16"/>
      <c r="F33" s="124">
        <v>-3997484.2354000001</v>
      </c>
      <c r="G33" s="124">
        <v>3276846.7845999999</v>
      </c>
      <c r="H33" s="124">
        <v>3724296.5251000002</v>
      </c>
      <c r="I33" s="129"/>
      <c r="J33" s="124">
        <v>-3997484.2360999999</v>
      </c>
      <c r="K33" s="124">
        <v>3276846.7843999998</v>
      </c>
      <c r="L33" s="124">
        <v>3724296.5247</v>
      </c>
      <c r="N33" s="124">
        <v>-3997484.2362000002</v>
      </c>
      <c r="O33" s="124">
        <v>3276846.7842000001</v>
      </c>
      <c r="P33" s="124">
        <v>3724296.5244</v>
      </c>
      <c r="R33" s="124">
        <v>-3997484.2363</v>
      </c>
      <c r="S33" s="124">
        <v>3276846.7843999998</v>
      </c>
      <c r="T33" s="124">
        <v>3724296.5243000002</v>
      </c>
      <c r="AL33" s="16"/>
      <c r="AM33" s="7"/>
      <c r="AN33" s="7"/>
      <c r="AO33" s="7"/>
      <c r="AP33" s="7"/>
      <c r="AQ33" s="7"/>
      <c r="AR33" s="7"/>
      <c r="AS33" s="31"/>
    </row>
    <row r="34" spans="1:50">
      <c r="A34" s="9">
        <v>7335</v>
      </c>
      <c r="B34" s="227" t="s">
        <v>201</v>
      </c>
      <c r="C34" s="14" t="s">
        <v>139</v>
      </c>
      <c r="D34" s="16"/>
      <c r="E34" s="16"/>
      <c r="F34" s="124">
        <v>-3997484.3105000001</v>
      </c>
      <c r="G34" s="124">
        <v>3276846.8462</v>
      </c>
      <c r="H34" s="124">
        <v>3724296.5954999998</v>
      </c>
      <c r="I34" s="129"/>
      <c r="J34" s="124">
        <v>-3997484.3111999999</v>
      </c>
      <c r="K34" s="124">
        <v>3276846.8459999999</v>
      </c>
      <c r="L34" s="124">
        <v>3724296.5951999999</v>
      </c>
      <c r="N34" s="124">
        <v>-3997484.3114</v>
      </c>
      <c r="O34" s="124">
        <v>3276846.8457999998</v>
      </c>
      <c r="P34" s="124">
        <v>3724296.5948999999</v>
      </c>
      <c r="R34" s="124">
        <v>-3997484.3114</v>
      </c>
      <c r="S34" s="124">
        <v>3276846.8459999999</v>
      </c>
      <c r="T34" s="124">
        <v>3724296.5948000001</v>
      </c>
      <c r="AL34" s="16"/>
      <c r="AM34" s="7"/>
      <c r="AN34" s="7"/>
      <c r="AO34" s="7"/>
      <c r="AP34" s="7"/>
      <c r="AQ34" s="7"/>
      <c r="AR34" s="7"/>
      <c r="AS34" s="31"/>
    </row>
    <row r="35" spans="1:50">
      <c r="C35" s="16"/>
      <c r="D35" s="16"/>
      <c r="E35" s="16"/>
      <c r="F35" s="16" t="s">
        <v>69</v>
      </c>
      <c r="G35" s="129" t="s">
        <v>70</v>
      </c>
      <c r="H35" s="129" t="s">
        <v>71</v>
      </c>
      <c r="I35" s="129"/>
      <c r="J35" s="129"/>
      <c r="K35" s="16"/>
      <c r="L35" s="16"/>
      <c r="N35" s="16"/>
      <c r="O35" s="16"/>
      <c r="P35" s="16"/>
      <c r="R35" s="16"/>
      <c r="S35" s="16"/>
      <c r="T35" s="16"/>
    </row>
    <row r="36" spans="1:50" ht="15.75" thickBot="1">
      <c r="C36" s="16" t="s">
        <v>68</v>
      </c>
      <c r="D36" s="16"/>
      <c r="E36" s="16"/>
      <c r="F36" s="16">
        <v>140.65760968999999</v>
      </c>
      <c r="G36" s="129">
        <v>35.956281910000001</v>
      </c>
      <c r="H36" s="129">
        <v>70.138000000000005</v>
      </c>
      <c r="I36" s="129" t="s">
        <v>15</v>
      </c>
      <c r="J36" s="152" t="s">
        <v>189</v>
      </c>
      <c r="K36" s="14" t="s">
        <v>188</v>
      </c>
      <c r="L36" s="14"/>
      <c r="N36" s="16"/>
      <c r="O36" s="16"/>
      <c r="P36" s="16"/>
      <c r="R36" s="16"/>
      <c r="S36" s="16"/>
      <c r="T36" s="16"/>
    </row>
    <row r="37" spans="1:50">
      <c r="C37" s="16"/>
      <c r="D37" s="16"/>
      <c r="E37" s="16" t="s">
        <v>46</v>
      </c>
      <c r="F37" s="236">
        <f>-SIN(RADIANS(F36))</f>
        <v>-0.63395322527666786</v>
      </c>
      <c r="G37" s="237">
        <f>COS(RADIANS(F36))</f>
        <v>-0.77337139083451389</v>
      </c>
      <c r="H37" s="238">
        <v>0</v>
      </c>
      <c r="I37" s="129"/>
      <c r="J37" s="152" t="s">
        <v>5</v>
      </c>
      <c r="K37" s="151" t="s">
        <v>4</v>
      </c>
      <c r="L37" s="151" t="s">
        <v>6</v>
      </c>
      <c r="M37" s="9"/>
      <c r="N37" s="151" t="s">
        <v>22</v>
      </c>
      <c r="O37" s="151" t="s">
        <v>23</v>
      </c>
      <c r="P37" s="151" t="s">
        <v>24</v>
      </c>
      <c r="R37" s="16"/>
      <c r="S37" s="16"/>
      <c r="T37" s="16"/>
    </row>
    <row r="38" spans="1:50">
      <c r="C38" s="16"/>
      <c r="D38" s="16"/>
      <c r="E38" s="16"/>
      <c r="F38" s="239">
        <f>-COS(RADIANS(F36))*SIN(RADIANS(G36))</f>
        <v>0.4540987637289926</v>
      </c>
      <c r="G38" s="240">
        <f>-SIN(RADIANS(F36))*SIN(RADIANS(G36))</f>
        <v>-0.37223690877613869</v>
      </c>
      <c r="H38" s="241">
        <f>COS(RADIANS(G36))</f>
        <v>0.8094652534387039</v>
      </c>
      <c r="I38" s="129"/>
      <c r="J38" s="210">
        <v>1532.3</v>
      </c>
      <c r="K38" s="169">
        <v>10019</v>
      </c>
      <c r="L38" s="169">
        <v>4442.8999999999996</v>
      </c>
      <c r="N38" s="169">
        <f t="array" ref="N38:P38">MMULT(J38:L38,F$37:H$39)</f>
        <v>796.87686278415958</v>
      </c>
      <c r="O38" s="169">
        <v>-2634.5461979293095</v>
      </c>
      <c r="P38" s="169">
        <v>10718.760110037703</v>
      </c>
      <c r="R38" s="16"/>
      <c r="S38" s="16"/>
      <c r="T38" s="16"/>
    </row>
    <row r="39" spans="1:50" ht="15.75" thickBot="1">
      <c r="C39" s="16"/>
      <c r="D39" s="16"/>
      <c r="E39" s="16"/>
      <c r="F39" s="242">
        <f>COS(RADIANS(F36))*COS(RADIANS(G36))</f>
        <v>-0.6260172688841027</v>
      </c>
      <c r="G39" s="243">
        <f>SIN(RADIANS(F36))*COS(RADIANS(G36))</f>
        <v>0.51316310816686173</v>
      </c>
      <c r="H39" s="244">
        <f>SIN(RADIANS(G36))</f>
        <v>0.58716778136697423</v>
      </c>
      <c r="I39" s="129"/>
      <c r="J39" s="129"/>
      <c r="K39" s="16"/>
      <c r="L39" s="16"/>
      <c r="N39" s="16"/>
      <c r="O39" s="16"/>
      <c r="P39" s="16"/>
      <c r="R39" s="16"/>
      <c r="S39" s="16"/>
      <c r="T39" s="16"/>
    </row>
    <row r="40" spans="1:50">
      <c r="C40" s="16"/>
      <c r="D40" s="16"/>
      <c r="E40" s="16"/>
      <c r="F40" s="16"/>
      <c r="G40" s="129"/>
      <c r="H40" s="129"/>
      <c r="I40" s="129"/>
      <c r="J40" s="129"/>
      <c r="K40" s="16"/>
      <c r="L40" s="16"/>
      <c r="N40" s="16"/>
      <c r="O40" s="16"/>
      <c r="P40" s="16"/>
      <c r="R40" s="16"/>
      <c r="S40" s="16"/>
      <c r="T40" s="16"/>
    </row>
    <row r="41" spans="1:50">
      <c r="C41" s="16"/>
      <c r="D41" s="16"/>
      <c r="E41" s="16"/>
      <c r="F41" s="16" t="s">
        <v>261</v>
      </c>
      <c r="G41" s="129" t="s">
        <v>262</v>
      </c>
      <c r="H41" s="129" t="s">
        <v>266</v>
      </c>
      <c r="I41" s="129"/>
      <c r="J41" s="157">
        <v>0.7</v>
      </c>
      <c r="K41" s="8">
        <v>0.9</v>
      </c>
      <c r="L41" s="8">
        <v>0</v>
      </c>
      <c r="N41" s="169">
        <f t="array" ref="N41:P41">MMULT(J41:L41,F$37:H$39)</f>
        <v>-3.5078370337574105E-2</v>
      </c>
      <c r="O41" s="169">
        <v>-0.87637319148268444</v>
      </c>
      <c r="P41" s="169">
        <v>0.72851872809483353</v>
      </c>
      <c r="R41" s="16"/>
      <c r="S41" s="16"/>
      <c r="T41" s="16"/>
    </row>
    <row r="42" spans="1:50">
      <c r="C42" s="16"/>
      <c r="D42" s="16"/>
      <c r="E42" s="16"/>
      <c r="F42" s="16"/>
      <c r="G42" s="129" t="s">
        <v>262</v>
      </c>
      <c r="H42" s="129" t="s">
        <v>267</v>
      </c>
      <c r="I42" s="129"/>
      <c r="J42" s="157">
        <v>0.8</v>
      </c>
      <c r="K42" s="8">
        <v>0.7</v>
      </c>
      <c r="L42" s="8">
        <v>0.1</v>
      </c>
      <c r="N42" s="169">
        <f t="array" ref="N42:P42">MMULT(J42:L42,F$37:H$39)</f>
        <v>-0.25189517249944976</v>
      </c>
      <c r="O42" s="169">
        <v>-0.82794663799422208</v>
      </c>
      <c r="P42" s="169">
        <v>0.62534245554379009</v>
      </c>
      <c r="R42" s="16"/>
      <c r="S42" s="16"/>
      <c r="T42" s="16"/>
    </row>
    <row r="43" spans="1:50">
      <c r="C43" s="16"/>
      <c r="D43" s="16"/>
      <c r="E43" s="16"/>
      <c r="F43" s="16"/>
      <c r="G43" s="129" t="s">
        <v>262</v>
      </c>
      <c r="H43" s="129" t="s">
        <v>268</v>
      </c>
      <c r="I43" s="129"/>
      <c r="J43" s="157">
        <v>0.6</v>
      </c>
      <c r="K43" s="8">
        <v>0.5</v>
      </c>
      <c r="L43" s="8">
        <v>0.1</v>
      </c>
      <c r="N43" s="169">
        <f t="array" ref="N43:P43">MMULT(J43:L43,F$37:H$39)</f>
        <v>-0.21592428018991466</v>
      </c>
      <c r="O43" s="169">
        <v>-0.59882497807209145</v>
      </c>
      <c r="P43" s="169">
        <v>0.46344940485604935</v>
      </c>
      <c r="R43" s="16"/>
      <c r="S43" s="16"/>
      <c r="T43" s="16"/>
    </row>
    <row r="44" spans="1:50">
      <c r="C44" s="16"/>
      <c r="D44" s="16"/>
      <c r="E44" s="16"/>
      <c r="F44" s="16"/>
      <c r="G44" s="129"/>
      <c r="H44" s="129"/>
      <c r="I44" s="129"/>
      <c r="J44" s="129"/>
      <c r="K44" s="16"/>
      <c r="L44" s="16"/>
      <c r="N44" s="16"/>
      <c r="O44" s="16"/>
      <c r="P44" s="16"/>
      <c r="R44" s="16"/>
      <c r="S44" s="16"/>
      <c r="T44" s="16"/>
    </row>
    <row r="45" spans="1:50" ht="15.75" thickBot="1">
      <c r="C45" s="16"/>
      <c r="D45" s="16"/>
      <c r="E45" s="16"/>
      <c r="F45" s="16" t="s">
        <v>163</v>
      </c>
      <c r="G45" s="129"/>
      <c r="H45" s="129"/>
      <c r="I45" s="129"/>
      <c r="J45" s="129"/>
      <c r="K45" s="16"/>
      <c r="L45" s="16"/>
      <c r="N45" s="16"/>
      <c r="O45" s="16"/>
      <c r="P45" s="16"/>
      <c r="R45" s="16"/>
      <c r="S45" s="16"/>
      <c r="T45" s="16"/>
    </row>
    <row r="46" spans="1:50" ht="19.5" thickBot="1">
      <c r="C46" s="2"/>
      <c r="D46" s="2"/>
      <c r="E46" s="2"/>
      <c r="F46" s="322" t="s">
        <v>10</v>
      </c>
      <c r="G46" s="323"/>
      <c r="H46" s="324"/>
      <c r="J46" s="322" t="s">
        <v>11</v>
      </c>
      <c r="K46" s="323"/>
      <c r="L46" s="324"/>
      <c r="N46" s="322" t="s">
        <v>12</v>
      </c>
      <c r="O46" s="323"/>
      <c r="P46" s="324"/>
      <c r="R46" s="322" t="s">
        <v>13</v>
      </c>
      <c r="S46" s="323"/>
      <c r="T46" s="324"/>
      <c r="AM46" s="135"/>
      <c r="AN46" s="182" t="s">
        <v>110</v>
      </c>
      <c r="AO46" s="136"/>
      <c r="AP46" s="326" t="s">
        <v>115</v>
      </c>
      <c r="AQ46" s="321"/>
      <c r="AR46" s="321"/>
      <c r="AV46" t="s">
        <v>115</v>
      </c>
    </row>
    <row r="47" spans="1:50">
      <c r="C47" s="2" t="s">
        <v>65</v>
      </c>
      <c r="D47" s="2" t="s">
        <v>72</v>
      </c>
      <c r="E47" s="2"/>
      <c r="F47" s="14">
        <f>F28-F32</f>
        <v>-22.131200000178069</v>
      </c>
      <c r="G47" s="124">
        <f>G28-G32</f>
        <v>34.165200000163168</v>
      </c>
      <c r="H47" s="124">
        <f>H28-H32</f>
        <v>-66.621999999973923</v>
      </c>
      <c r="I47" s="131"/>
      <c r="J47" s="124">
        <f>J28-J32</f>
        <v>-22.133099999744445</v>
      </c>
      <c r="K47" s="14">
        <f>K28-K32</f>
        <v>34.166999999899417</v>
      </c>
      <c r="L47" s="14">
        <f>L28-L32</f>
        <v>-66.621599999722093</v>
      </c>
      <c r="M47" s="2"/>
      <c r="N47" s="14">
        <f>N28-N32</f>
        <v>-22.133300000336021</v>
      </c>
      <c r="O47" s="14">
        <f>O28-O32</f>
        <v>34.165400000289083</v>
      </c>
      <c r="P47" s="14">
        <f>P28-P32</f>
        <v>-66.623499999754131</v>
      </c>
      <c r="Q47" s="2"/>
      <c r="R47" s="14">
        <f>R28-R32</f>
        <v>-22.138999999966472</v>
      </c>
      <c r="S47" s="14">
        <f>S28-S32</f>
        <v>34.165900000371039</v>
      </c>
      <c r="T47" s="14">
        <f>T28-T32</f>
        <v>-66.622399999760091</v>
      </c>
      <c r="AL47" s="2" t="s">
        <v>65</v>
      </c>
      <c r="AM47" s="14">
        <f>AM28-AM32</f>
        <v>-21.329299999866635</v>
      </c>
      <c r="AN47" s="124">
        <f>AN28-AN32</f>
        <v>31.646199999842793</v>
      </c>
      <c r="AO47" s="124">
        <f>AO28-AO32</f>
        <v>-55.914599999785423</v>
      </c>
      <c r="AP47">
        <f>SQRT(AP28^2+AP32^2)</f>
        <v>2.3675514777930385E-2</v>
      </c>
      <c r="AQ47">
        <f>SQRT(AQ28^2+AQ32^2)</f>
        <v>2.5456629784792805E-2</v>
      </c>
      <c r="AR47">
        <f>SQRT(AR28^2+AR32^2)</f>
        <v>1.9659603251337501E-2</v>
      </c>
      <c r="AV47" s="14" t="s">
        <v>5</v>
      </c>
      <c r="AW47" s="124" t="s">
        <v>4</v>
      </c>
      <c r="AX47" s="124" t="s">
        <v>6</v>
      </c>
    </row>
    <row r="48" spans="1:50">
      <c r="C48" s="2" t="s">
        <v>136</v>
      </c>
      <c r="D48" s="2"/>
      <c r="E48" s="2"/>
      <c r="F48" s="14">
        <f>F28-F33</f>
        <v>-21.408499999903142</v>
      </c>
      <c r="G48" s="14">
        <f>G28-G33</f>
        <v>31.592200000304729</v>
      </c>
      <c r="H48" s="14">
        <f>H28-H33</f>
        <v>-55.832900000270456</v>
      </c>
      <c r="I48" s="131"/>
      <c r="J48" s="14">
        <f>J28-J33</f>
        <v>-21.409500000067055</v>
      </c>
      <c r="K48" s="14">
        <f>K28-K33</f>
        <v>31.593100000172853</v>
      </c>
      <c r="L48" s="14">
        <f>L28-L33</f>
        <v>-55.833399999886751</v>
      </c>
      <c r="M48" s="2"/>
      <c r="N48" s="14">
        <f>N28-N33</f>
        <v>-21.408999999985099</v>
      </c>
      <c r="O48" s="14">
        <f>O28-O33</f>
        <v>31.591299999970943</v>
      </c>
      <c r="P48" s="14">
        <f>P28-P33</f>
        <v>-55.835099999792874</v>
      </c>
      <c r="Q48" s="7"/>
      <c r="R48" s="14">
        <f>R28-R33</f>
        <v>-21.410900000017136</v>
      </c>
      <c r="S48" s="14">
        <f>S28-S33</f>
        <v>31.591300000436604</v>
      </c>
      <c r="T48" s="14">
        <f>T28-T33</f>
        <v>-55.836300000082701</v>
      </c>
      <c r="AL48" s="2"/>
      <c r="AM48" s="14"/>
      <c r="AN48" s="124"/>
      <c r="AO48" s="124"/>
      <c r="AV48" s="16"/>
      <c r="AW48" s="129"/>
      <c r="AX48" s="129"/>
    </row>
    <row r="49" spans="1:68">
      <c r="C49" s="2" t="s">
        <v>141</v>
      </c>
      <c r="D49" s="2"/>
      <c r="E49" s="2"/>
      <c r="F49" s="14">
        <f>F28-F34</f>
        <v>-21.333399999886751</v>
      </c>
      <c r="G49" s="14">
        <f>G28-G34</f>
        <v>31.530600000172853</v>
      </c>
      <c r="H49" s="14">
        <f>H28-H34</f>
        <v>-55.903299999888986</v>
      </c>
      <c r="I49" s="131"/>
      <c r="J49" s="14">
        <f>J28-J34</f>
        <v>-21.334400000050664</v>
      </c>
      <c r="K49" s="14">
        <f>K28-K34</f>
        <v>31.531500000040978</v>
      </c>
      <c r="L49" s="14">
        <f>L28-L34</f>
        <v>-55.903899999801069</v>
      </c>
      <c r="M49" s="2"/>
      <c r="N49" s="14">
        <f>N28-N34</f>
        <v>-21.333800000138581</v>
      </c>
      <c r="O49" s="14">
        <f>O28-O34</f>
        <v>31.529700000304729</v>
      </c>
      <c r="P49" s="14">
        <f>P28-P34</f>
        <v>-55.905599999707192</v>
      </c>
      <c r="Q49" s="7"/>
      <c r="R49" s="14">
        <f>R28-R34</f>
        <v>-21.335800000000745</v>
      </c>
      <c r="S49" s="14">
        <f>S28-S34</f>
        <v>31.529700000304729</v>
      </c>
      <c r="T49" s="14">
        <f>T28-T34</f>
        <v>-55.90679999999702</v>
      </c>
      <c r="AL49" s="2"/>
      <c r="AM49" s="14"/>
      <c r="AN49" s="124"/>
      <c r="AO49" s="124"/>
      <c r="AV49" s="16"/>
      <c r="AW49" s="129"/>
      <c r="AX49" s="129"/>
    </row>
    <row r="50" spans="1:68">
      <c r="C50" s="2" t="s">
        <v>29</v>
      </c>
      <c r="D50" s="2"/>
      <c r="E50" s="2"/>
      <c r="F50" s="14">
        <f>F26-F28</f>
        <v>-19.710500000044703</v>
      </c>
      <c r="G50" s="124">
        <f>G26-G28</f>
        <v>-7.4884999999776483</v>
      </c>
      <c r="H50" s="124">
        <f>H26-H28</f>
        <v>-22.106999999843538</v>
      </c>
      <c r="I50" s="131"/>
      <c r="J50" s="124">
        <f>J26-J28</f>
        <v>-19.712400000076741</v>
      </c>
      <c r="K50" s="14">
        <f>K26-K28</f>
        <v>-7.4884999999776483</v>
      </c>
      <c r="L50" s="14">
        <f>L26-L28</f>
        <v>-22.106000000145286</v>
      </c>
      <c r="M50" s="2"/>
      <c r="N50" s="14"/>
      <c r="O50" s="14"/>
      <c r="P50" s="14"/>
      <c r="R50" s="14"/>
      <c r="S50" s="14"/>
      <c r="T50" s="14"/>
      <c r="AL50" s="2" t="s">
        <v>29</v>
      </c>
      <c r="AM50" s="14">
        <f>AM26-AM28</f>
        <v>-19.662900000344962</v>
      </c>
      <c r="AN50" s="124">
        <f>AN26-AN28</f>
        <v>-7.5449000000953674</v>
      </c>
      <c r="AO50" s="124">
        <f>AO26-AO28</f>
        <v>-22.131600000429899</v>
      </c>
      <c r="AP50">
        <f>SQRT(AP28^2+AP26^2)</f>
        <v>2.2397321268401719E-2</v>
      </c>
      <c r="AQ50">
        <f>SQRT(AQ28^2+AQ26^2)</f>
        <v>2.0276340892774514E-2</v>
      </c>
      <c r="AR50">
        <f>SQRT(AR28^2+AR26^2)</f>
        <v>2.5709920264364882E-3</v>
      </c>
      <c r="AV50" s="1">
        <f t="array" ref="AV50:AX50">MMULT(AP47:AR47,TRANSPOSE($F$37:$H$39))*1000</f>
        <v>-34.696598136178906</v>
      </c>
      <c r="AW50" s="1">
        <v>17.188890540704104</v>
      </c>
      <c r="AX50" s="1">
        <v>9.7856077867549836</v>
      </c>
    </row>
    <row r="51" spans="1:68" s="1" customFormat="1">
      <c r="A51" s="226"/>
      <c r="B51" s="231"/>
      <c r="C51" s="2" t="s">
        <v>137</v>
      </c>
      <c r="F51" s="14">
        <f>F26-F33</f>
        <v>-41.118999999947846</v>
      </c>
      <c r="G51" s="14">
        <f>G26-G33</f>
        <v>24.10370000032708</v>
      </c>
      <c r="H51" s="14">
        <f>H26-H33</f>
        <v>-77.939900000113994</v>
      </c>
      <c r="I51" s="133"/>
      <c r="J51" s="14">
        <f>J26-J33</f>
        <v>-41.121900000143796</v>
      </c>
      <c r="K51" s="14">
        <f>K26-K33</f>
        <v>24.104600000195205</v>
      </c>
      <c r="L51" s="14">
        <f>L26-L33</f>
        <v>-77.939400000032037</v>
      </c>
      <c r="M51" s="6"/>
      <c r="N51" s="15"/>
      <c r="O51" s="6"/>
      <c r="P51" s="6"/>
      <c r="R51" s="15"/>
      <c r="S51" s="6"/>
      <c r="T51" s="6"/>
      <c r="V51" s="3"/>
      <c r="W51" s="3"/>
      <c r="X51" s="3"/>
      <c r="AL51" s="2" t="s">
        <v>138</v>
      </c>
      <c r="AM51" s="14">
        <f>AM26-AM32</f>
        <v>-40.992200000211596</v>
      </c>
      <c r="AN51" s="14">
        <f>AN26-AN32</f>
        <v>24.101299999747425</v>
      </c>
      <c r="AO51" s="14">
        <f>AO26-AO32</f>
        <v>-78.046200000215322</v>
      </c>
      <c r="AP51" s="3">
        <f>SQRT(AP32^2+AP26^2)</f>
        <v>3.2045124434147546E-2</v>
      </c>
      <c r="AQ51" s="3">
        <f>SQRT(AQ32^2+AQ26^2)</f>
        <v>3.1829074758779906E-2</v>
      </c>
      <c r="AR51" s="3">
        <f>SQRT(AR32^2+AR26^2)</f>
        <v>1.9509228585466928E-2</v>
      </c>
      <c r="AV51" s="1">
        <f t="array" ref="AV51:AX51">MMULT(AP50:AR50,TRANSPOSE($F$37:$H$39))*1000</f>
        <v>-29.879996012940733</v>
      </c>
      <c r="AW51" s="1">
        <v>4.7041221558729953</v>
      </c>
      <c r="AX51" s="1">
        <v>-2.1064360919027663</v>
      </c>
    </row>
    <row r="52" spans="1:68" s="1" customFormat="1">
      <c r="A52" s="226"/>
      <c r="B52" s="231"/>
      <c r="C52" s="2" t="s">
        <v>142</v>
      </c>
      <c r="F52" s="14">
        <f>F26-F34</f>
        <v>-41.043899999931455</v>
      </c>
      <c r="G52" s="14">
        <f>G26-G34</f>
        <v>24.042100000195205</v>
      </c>
      <c r="H52" s="14">
        <f>H26-H34</f>
        <v>-78.010299999732524</v>
      </c>
      <c r="I52" s="133"/>
      <c r="J52" s="14">
        <f>J26-J34</f>
        <v>-41.046800000127405</v>
      </c>
      <c r="K52" s="14">
        <f>K26-K34</f>
        <v>24.04300000006333</v>
      </c>
      <c r="L52" s="14">
        <f>L26-L34</f>
        <v>-78.009899999946356</v>
      </c>
      <c r="M52" s="6"/>
      <c r="N52" s="15"/>
      <c r="O52" s="6"/>
      <c r="P52" s="6"/>
      <c r="R52" s="15"/>
      <c r="S52" s="6"/>
      <c r="T52" s="6"/>
      <c r="V52" s="3"/>
      <c r="W52" s="3"/>
      <c r="X52" s="3"/>
      <c r="AL52" s="2"/>
      <c r="AM52" s="14"/>
      <c r="AN52" s="14"/>
      <c r="AO52" s="14"/>
      <c r="AP52" s="3"/>
      <c r="AQ52" s="3"/>
      <c r="AR52" s="3"/>
    </row>
    <row r="53" spans="1:68">
      <c r="C53" s="2" t="s">
        <v>30</v>
      </c>
      <c r="D53" s="2"/>
      <c r="E53" s="2"/>
      <c r="F53" s="14">
        <f>F26-F30</f>
        <v>123.88269999995828</v>
      </c>
      <c r="G53" s="124">
        <f>G26-G30</f>
        <v>180.12460000021383</v>
      </c>
      <c r="H53" s="124">
        <f>H26-H30</f>
        <v>-60.245699999853969</v>
      </c>
      <c r="I53" s="131"/>
      <c r="J53" s="124">
        <f>J26-J30</f>
        <v>123.87779999990016</v>
      </c>
      <c r="K53" s="14">
        <f>K26-K30</f>
        <v>180.12559999991208</v>
      </c>
      <c r="L53" s="14">
        <f>L26-L30</f>
        <v>-60.246100000105798</v>
      </c>
      <c r="M53" s="2"/>
      <c r="N53" s="14"/>
      <c r="O53" s="14"/>
      <c r="P53" s="14"/>
      <c r="R53" s="14"/>
      <c r="S53" s="14"/>
      <c r="T53" s="14"/>
      <c r="AL53" s="2" t="s">
        <v>30</v>
      </c>
      <c r="AM53" s="14">
        <f>AM26-AM30</f>
        <v>123.90379999997094</v>
      </c>
      <c r="AN53" s="124">
        <f>AN26-AN30</f>
        <v>180.09349999995902</v>
      </c>
      <c r="AO53" s="124">
        <f>AO26-AO30</f>
        <v>-60.254500000271946</v>
      </c>
      <c r="AP53">
        <f>SQRT(AP30^2+AP26^2)</f>
        <v>2.2496444163467254E-2</v>
      </c>
      <c r="AQ53">
        <f>SQRT(AQ30^2+AQ26^2)</f>
        <v>2.0564532574313472E-2</v>
      </c>
      <c r="AR53">
        <f>SQRT(AR30^2+AR26^2)</f>
        <v>1.2529964086141667E-3</v>
      </c>
      <c r="AV53" s="1">
        <f t="array" ref="AV53:AX53">MMULT(AP53:AR53,TRANSPOSE($F$37:$H$39))*1000</f>
        <v>-30.165714493545014</v>
      </c>
      <c r="AW53" s="1">
        <v>3.5749865024967886</v>
      </c>
      <c r="AX53" s="1">
        <v>-2.7944839596773408</v>
      </c>
    </row>
    <row r="54" spans="1:68">
      <c r="C54" s="2"/>
      <c r="D54" s="2"/>
      <c r="E54" s="2"/>
      <c r="F54" s="6">
        <f>F53*1000</f>
        <v>123882.69999995828</v>
      </c>
      <c r="G54" s="133">
        <f>G53*1000</f>
        <v>180124.60000021383</v>
      </c>
      <c r="H54" s="133">
        <f>H53*1000</f>
        <v>-60245.699999853969</v>
      </c>
      <c r="I54" s="131"/>
      <c r="J54" s="133">
        <f>J53*1000</f>
        <v>123877.79999990016</v>
      </c>
      <c r="K54" s="6">
        <f>K53*1000</f>
        <v>180125.59999991208</v>
      </c>
      <c r="L54" s="6">
        <f>L53*1000</f>
        <v>-60246.100000105798</v>
      </c>
      <c r="M54" s="6"/>
      <c r="N54" s="6"/>
      <c r="O54" s="6"/>
      <c r="P54" s="6"/>
      <c r="R54" s="6"/>
      <c r="S54" s="6"/>
      <c r="T54" s="6"/>
      <c r="AL54" s="2"/>
      <c r="AM54" s="6">
        <f>AM53*1000</f>
        <v>123903.79999997094</v>
      </c>
      <c r="AN54" s="133">
        <f>AN53*1000</f>
        <v>180093.49999995902</v>
      </c>
      <c r="AO54" s="133">
        <f>AO53*1000</f>
        <v>-60254.500000271946</v>
      </c>
      <c r="AV54" s="1">
        <f t="array" ref="AV54:AX54">MMULT(AP55:AR55,TRANSPOSE($F$37:$H$39))*1000</f>
        <v>-9.8781173230078032</v>
      </c>
      <c r="AW54" s="1">
        <v>2.2419522413664832</v>
      </c>
      <c r="AX54" s="1">
        <v>1.5609126498061847</v>
      </c>
    </row>
    <row r="55" spans="1:68">
      <c r="C55" s="54" t="s">
        <v>31</v>
      </c>
      <c r="D55" s="54"/>
      <c r="E55" s="54"/>
      <c r="F55" s="138">
        <f>F30-F28</f>
        <v>-143.59320000000298</v>
      </c>
      <c r="G55" s="158">
        <f>G30-G28</f>
        <v>-187.61310000019148</v>
      </c>
      <c r="H55" s="158">
        <f>H30-H28</f>
        <v>38.138700000010431</v>
      </c>
      <c r="I55" s="159">
        <f t="array" ref="I55">SQRT(SUM(F55:H55*F55:H55))</f>
        <v>239.3161983978801</v>
      </c>
      <c r="J55" s="158">
        <f>J30-J28</f>
        <v>-143.5901999999769</v>
      </c>
      <c r="K55" s="138">
        <f>K30-K28</f>
        <v>-187.61409999988973</v>
      </c>
      <c r="L55" s="138">
        <f>L30-L28</f>
        <v>38.140099999960512</v>
      </c>
      <c r="N55" s="3"/>
      <c r="O55" s="3"/>
      <c r="P55" s="3"/>
      <c r="R55" s="3"/>
      <c r="S55" s="3"/>
      <c r="T55" s="3"/>
      <c r="AL55" s="2" t="s">
        <v>31</v>
      </c>
      <c r="AM55" s="14">
        <f>AM30-AM28</f>
        <v>-143.5667000003159</v>
      </c>
      <c r="AN55" s="124">
        <f>AN30-AN28</f>
        <v>-187.63840000005439</v>
      </c>
      <c r="AO55" s="124">
        <f>AO30-AO28</f>
        <v>38.122899999842048</v>
      </c>
      <c r="AP55">
        <f>SQRT(AP30^2+AP28^2)</f>
        <v>6.3031738037277697E-3</v>
      </c>
      <c r="AQ55">
        <f>SQRT(AQ30^2+AQ28^2)</f>
        <v>7.6059187479225673E-3</v>
      </c>
      <c r="AR55">
        <f>SQRT(AR30^2+AR28^2)</f>
        <v>2.7313000567495329E-3</v>
      </c>
    </row>
    <row r="56" spans="1:68">
      <c r="C56" s="160" t="s">
        <v>160</v>
      </c>
      <c r="D56" s="2"/>
      <c r="E56" s="2"/>
      <c r="F56" s="14">
        <f>F34-F33</f>
        <v>-7.5100000016391277E-2</v>
      </c>
      <c r="G56" s="14">
        <f>G34-G33</f>
        <v>6.1600000131875277E-2</v>
      </c>
      <c r="H56" s="14">
        <f>H34-H33</f>
        <v>7.0399999618530273E-2</v>
      </c>
      <c r="I56" s="131"/>
      <c r="J56" s="14">
        <f>J34-J33</f>
        <v>-7.5100000016391277E-2</v>
      </c>
      <c r="K56" s="14">
        <f>K34-K33</f>
        <v>6.1600000131875277E-2</v>
      </c>
      <c r="L56" s="14">
        <f>L34-L33</f>
        <v>7.0499999914318323E-2</v>
      </c>
      <c r="M56" s="2"/>
      <c r="N56" s="14">
        <f>N34-N33</f>
        <v>-7.519999984651804E-2</v>
      </c>
      <c r="O56" s="14">
        <f>O34-O33</f>
        <v>6.1599999666213989E-2</v>
      </c>
      <c r="P56" s="14">
        <f>P34-P33</f>
        <v>7.0499999914318323E-2</v>
      </c>
      <c r="Q56" s="2"/>
      <c r="R56" s="14">
        <f>R34-R33</f>
        <v>-7.5100000016391277E-2</v>
      </c>
      <c r="S56" s="16">
        <f>S34-S33</f>
        <v>6.1600000131875277E-2</v>
      </c>
      <c r="T56" s="16">
        <f>T34-T33</f>
        <v>7.0499999914318323E-2</v>
      </c>
      <c r="AL56" s="7"/>
      <c r="AM56" s="16"/>
      <c r="AN56" s="129"/>
      <c r="AO56" s="129"/>
    </row>
    <row r="57" spans="1:68">
      <c r="C57" s="144" t="s">
        <v>161</v>
      </c>
      <c r="D57" s="7"/>
      <c r="E57" s="7"/>
      <c r="F57" s="16">
        <f>F32-F34</f>
        <v>0.7978000002913177</v>
      </c>
      <c r="G57" s="16">
        <f>G32-G34</f>
        <v>-2.6345999999903142</v>
      </c>
      <c r="H57" s="16">
        <f>H32-H34</f>
        <v>10.718700000084937</v>
      </c>
      <c r="I57" s="134"/>
      <c r="J57" s="16">
        <f>J32-J34</f>
        <v>0.79869999969378114</v>
      </c>
      <c r="K57" s="16">
        <f>K32-K34</f>
        <v>-2.635499999858439</v>
      </c>
      <c r="L57" s="16">
        <f>L32-L34</f>
        <v>10.717699999921024</v>
      </c>
      <c r="M57" s="7"/>
      <c r="N57" s="16">
        <f>N32-N34</f>
        <v>0.79950000019744039</v>
      </c>
      <c r="O57" s="16">
        <f>O32-O34</f>
        <v>-2.6356999999843538</v>
      </c>
      <c r="P57" s="16">
        <f>P32-P34</f>
        <v>10.717900000046939</v>
      </c>
      <c r="Q57" s="7"/>
      <c r="R57" s="16">
        <f>R32-R34</f>
        <v>0.80319999996572733</v>
      </c>
      <c r="S57" s="16">
        <f>S32-S34</f>
        <v>-2.6362000000663102</v>
      </c>
      <c r="T57" s="16">
        <f>T32-T34</f>
        <v>10.715599999763072</v>
      </c>
      <c r="AL57" s="7"/>
      <c r="AM57" s="16"/>
      <c r="AN57" s="129"/>
      <c r="AO57" s="129"/>
    </row>
    <row r="58" spans="1:68">
      <c r="C58" s="144" t="s">
        <v>156</v>
      </c>
      <c r="D58" s="7"/>
      <c r="E58" s="7"/>
      <c r="F58" s="16">
        <v>0.79700000000000004</v>
      </c>
      <c r="G58" s="16">
        <v>-2.6339999999999999</v>
      </c>
      <c r="H58" s="16">
        <v>10.718999999999999</v>
      </c>
      <c r="I58" s="134"/>
      <c r="J58" s="16"/>
      <c r="K58" s="16"/>
      <c r="L58" s="16"/>
      <c r="M58" s="7"/>
      <c r="N58" s="16"/>
      <c r="O58" s="16"/>
      <c r="P58" s="16"/>
      <c r="Q58" s="7"/>
      <c r="R58" s="16"/>
      <c r="S58" s="16"/>
      <c r="T58" s="16"/>
      <c r="AL58" s="7"/>
      <c r="AM58" s="16"/>
      <c r="AN58" s="129"/>
      <c r="AO58" s="129"/>
    </row>
    <row r="59" spans="1:68">
      <c r="C59" s="211" t="s">
        <v>190</v>
      </c>
      <c r="D59" s="212"/>
      <c r="E59" s="212"/>
      <c r="F59" s="213">
        <f>N38*0.001</f>
        <v>0.79687686278415959</v>
      </c>
      <c r="G59" s="213">
        <f>O38*0.001</f>
        <v>-2.6345461979293097</v>
      </c>
      <c r="H59" s="213">
        <f>P38*0.001</f>
        <v>10.718760110037703</v>
      </c>
      <c r="I59" s="134"/>
      <c r="J59" s="129"/>
      <c r="K59" s="16"/>
      <c r="L59" s="16"/>
      <c r="N59" s="3"/>
      <c r="O59" s="3"/>
      <c r="P59" s="3"/>
      <c r="R59" s="3"/>
      <c r="S59" s="3"/>
      <c r="T59" s="3"/>
    </row>
    <row r="60" spans="1:68">
      <c r="C60" s="31"/>
      <c r="D60" s="7"/>
      <c r="E60" s="7"/>
      <c r="F60" s="16"/>
      <c r="G60" s="129"/>
      <c r="H60" s="129"/>
      <c r="I60" s="134"/>
      <c r="J60" s="129"/>
      <c r="K60" s="16"/>
      <c r="L60" s="16"/>
      <c r="N60" s="3"/>
      <c r="O60" s="3"/>
      <c r="P60" s="3"/>
      <c r="R60" s="3"/>
      <c r="S60" s="3"/>
      <c r="T60" s="3"/>
    </row>
    <row r="61" spans="1:68" ht="15.75" thickBot="1">
      <c r="C61" s="31" t="s">
        <v>162</v>
      </c>
      <c r="J61" s="130"/>
      <c r="K61" s="3"/>
      <c r="L61" s="3"/>
      <c r="N61" s="3"/>
      <c r="O61" s="3"/>
      <c r="P61" s="3"/>
      <c r="R61" s="3"/>
      <c r="S61" s="3"/>
      <c r="T61" s="3"/>
    </row>
    <row r="62" spans="1:68" ht="19.5" thickBot="1">
      <c r="C62" s="2"/>
      <c r="D62" s="2"/>
      <c r="E62" s="2"/>
      <c r="F62" s="316" t="s">
        <v>10</v>
      </c>
      <c r="G62" s="316"/>
      <c r="H62" s="316"/>
      <c r="J62" s="322" t="s">
        <v>11</v>
      </c>
      <c r="K62" s="323"/>
      <c r="L62" s="324"/>
      <c r="N62" s="322" t="s">
        <v>12</v>
      </c>
      <c r="O62" s="323"/>
      <c r="P62" s="324"/>
      <c r="R62" s="322" t="s">
        <v>13</v>
      </c>
      <c r="S62" s="323"/>
      <c r="T62" s="324"/>
      <c r="AM62" s="135"/>
      <c r="AN62" s="182" t="s">
        <v>110</v>
      </c>
      <c r="AO62" s="136"/>
      <c r="AR62" t="s">
        <v>117</v>
      </c>
      <c r="AT62" t="s">
        <v>16</v>
      </c>
      <c r="AV62" t="s">
        <v>116</v>
      </c>
      <c r="AX62" t="s">
        <v>16</v>
      </c>
      <c r="AZ62" t="s">
        <v>125</v>
      </c>
      <c r="BB62" t="s">
        <v>16</v>
      </c>
      <c r="BD62" t="s">
        <v>133</v>
      </c>
      <c r="BF62" t="s">
        <v>16</v>
      </c>
      <c r="BH62" s="2"/>
      <c r="BI62" s="315" t="s">
        <v>7</v>
      </c>
      <c r="BJ62" s="315"/>
      <c r="BK62" s="315"/>
      <c r="BM62" s="315" t="s">
        <v>126</v>
      </c>
      <c r="BN62" s="315"/>
      <c r="BO62" s="315"/>
      <c r="BP62" s="2" t="s">
        <v>4</v>
      </c>
    </row>
    <row r="63" spans="1:68">
      <c r="C63" s="2"/>
      <c r="D63" s="2"/>
      <c r="E63" s="2"/>
      <c r="F63" s="14" t="s">
        <v>5</v>
      </c>
      <c r="G63" s="124" t="s">
        <v>4</v>
      </c>
      <c r="H63" s="124" t="s">
        <v>6</v>
      </c>
      <c r="I63" s="124" t="s">
        <v>15</v>
      </c>
      <c r="J63" s="124" t="s">
        <v>5</v>
      </c>
      <c r="K63" s="14" t="s">
        <v>4</v>
      </c>
      <c r="L63" s="14" t="s">
        <v>6</v>
      </c>
      <c r="M63" s="14" t="s">
        <v>15</v>
      </c>
      <c r="N63" s="14" t="s">
        <v>5</v>
      </c>
      <c r="O63" s="14" t="s">
        <v>4</v>
      </c>
      <c r="P63" s="14" t="s">
        <v>6</v>
      </c>
      <c r="Q63" s="14" t="s">
        <v>15</v>
      </c>
      <c r="R63" s="14" t="s">
        <v>5</v>
      </c>
      <c r="S63" s="14" t="s">
        <v>4</v>
      </c>
      <c r="T63" s="14" t="s">
        <v>6</v>
      </c>
      <c r="U63" s="3" t="s">
        <v>15</v>
      </c>
      <c r="Y63" s="3"/>
      <c r="Z63" s="3"/>
      <c r="AA63" s="3"/>
      <c r="AB63" s="3"/>
      <c r="AC63" s="3"/>
      <c r="AD63" s="3"/>
      <c r="AE63" s="3"/>
      <c r="AF63" s="3"/>
      <c r="AG63" s="3"/>
      <c r="AH63" s="3"/>
      <c r="AI63" s="3"/>
      <c r="AJ63" s="3"/>
      <c r="AK63" s="3"/>
      <c r="AM63" s="14" t="s">
        <v>5</v>
      </c>
      <c r="AN63" s="124" t="s">
        <v>4</v>
      </c>
      <c r="AO63" s="124" t="s">
        <v>6</v>
      </c>
      <c r="AR63" s="14" t="s">
        <v>5</v>
      </c>
      <c r="AS63" s="124" t="s">
        <v>4</v>
      </c>
      <c r="AT63" s="124" t="s">
        <v>6</v>
      </c>
      <c r="AV63" s="14" t="s">
        <v>5</v>
      </c>
      <c r="AW63" s="124" t="s">
        <v>4</v>
      </c>
      <c r="AX63" s="124" t="s">
        <v>6</v>
      </c>
      <c r="AZ63" s="14" t="s">
        <v>5</v>
      </c>
      <c r="BA63" s="124" t="s">
        <v>4</v>
      </c>
      <c r="BB63" s="124" t="s">
        <v>6</v>
      </c>
      <c r="BD63" s="14" t="s">
        <v>5</v>
      </c>
      <c r="BE63" s="124" t="s">
        <v>4</v>
      </c>
      <c r="BF63" s="149" t="s">
        <v>6</v>
      </c>
      <c r="BG63" s="149"/>
      <c r="BH63" s="2"/>
      <c r="BI63" s="14" t="s">
        <v>5</v>
      </c>
      <c r="BJ63" s="124" t="s">
        <v>4</v>
      </c>
      <c r="BK63" s="124" t="s">
        <v>6</v>
      </c>
      <c r="BM63" s="14" t="s">
        <v>5</v>
      </c>
      <c r="BN63" s="124" t="s">
        <v>4</v>
      </c>
      <c r="BO63" s="124" t="s">
        <v>6</v>
      </c>
      <c r="BP63" s="2"/>
    </row>
    <row r="64" spans="1:68">
      <c r="C64" s="2" t="s">
        <v>65</v>
      </c>
      <c r="D64" s="2"/>
      <c r="E64" s="2"/>
      <c r="F64" s="14">
        <f t="array" ref="F64:H64">MMULT(F47:H47,TRANSPOSE($F$37:$H$39))</f>
        <v>-12.392242622909643</v>
      </c>
      <c r="G64" s="124">
        <v>-76.695493110271428</v>
      </c>
      <c r="H64" s="124">
        <v>-7.7314583257497205</v>
      </c>
      <c r="I64" s="131"/>
      <c r="J64" s="14">
        <f t="array" ref="J64:L64">MMULT(J47:L47,TRANSPOSE($F$37:$H$39))</f>
        <v>-12.392430180356042</v>
      </c>
      <c r="K64" s="124">
        <v>-76.69670213775801</v>
      </c>
      <c r="L64" s="124">
        <v>-7.7291103324905315</v>
      </c>
      <c r="M64" s="2"/>
      <c r="N64" s="14">
        <f t="array" ref="N64:P64">MMULT(N47:P47,TRANSPOSE($F$37:$H$39))</f>
        <v>-12.391065995411976</v>
      </c>
      <c r="O64" s="124">
        <v>-76.697735362877864</v>
      </c>
      <c r="P64" s="124">
        <v>-7.7309218082429325</v>
      </c>
      <c r="Q64" s="2"/>
      <c r="R64" s="14">
        <f t="array" ref="R64:T64">MMULT(R47:T47,TRANSPOSE($F$37:$H$39))</f>
        <v>-12.387839148020973</v>
      </c>
      <c r="S64" s="124">
        <v>-76.699619432374249</v>
      </c>
      <c r="T64" s="124">
        <v>-7.7264510438894902</v>
      </c>
      <c r="AL64" s="2" t="s">
        <v>65</v>
      </c>
      <c r="AM64" s="14">
        <f t="array" ref="AM64:AO64">MMULT(AM47:AO47,TRANSPOSE(F37:H39))</f>
        <v>-10.952487180696528</v>
      </c>
      <c r="AN64" s="124">
        <v>-66.726418283347215</v>
      </c>
      <c r="AO64" s="124">
        <v>-3.2390791411801558</v>
      </c>
      <c r="AQ64" s="2" t="s">
        <v>65</v>
      </c>
      <c r="AR64" s="133">
        <f>($AM64-F64)*1000</f>
        <v>1439.7554422131159</v>
      </c>
      <c r="AS64" s="133">
        <f>($AN64-G64)*1000</f>
        <v>9969.074826924214</v>
      </c>
      <c r="AT64" s="133">
        <f>($AO64-H64)*1000</f>
        <v>4492.379184569565</v>
      </c>
      <c r="AU64" s="1"/>
      <c r="AV64" s="133">
        <f>($AM64-J64)*1000</f>
        <v>1439.9429996595145</v>
      </c>
      <c r="AW64" s="133">
        <f>($AN64-K64)*1000</f>
        <v>9970.2838544107944</v>
      </c>
      <c r="AX64" s="133">
        <f>($AO64-L64)*1000</f>
        <v>4490.031191310376</v>
      </c>
      <c r="AZ64" s="133">
        <f>($AM64-N64)*1000</f>
        <v>1438.5788147154485</v>
      </c>
      <c r="BA64" s="133">
        <f>($AN64-O64)*1000</f>
        <v>9971.3170795306505</v>
      </c>
      <c r="BB64" s="133">
        <f>($AO64-P64)*1000</f>
        <v>4491.8426670627769</v>
      </c>
      <c r="BD64" s="133">
        <f>($AM64-R64)*1000</f>
        <v>1435.3519673244452</v>
      </c>
      <c r="BE64" s="133">
        <f>($AN64-S64)*1000</f>
        <v>9973.2011490270343</v>
      </c>
      <c r="BF64" s="150">
        <f>($AO64-T64)*1000</f>
        <v>4487.3719027093348</v>
      </c>
      <c r="BG64" s="150"/>
      <c r="BH64" s="2" t="s">
        <v>65</v>
      </c>
      <c r="BI64" s="6">
        <f>AVERAGE(AR64,AV64,AZ64,BD64)</f>
        <v>1438.407305978131</v>
      </c>
      <c r="BJ64" s="6">
        <f>AVERAGE(AS64,AW64,BA64,BE64)</f>
        <v>9970.9692274731733</v>
      </c>
      <c r="BK64" s="6">
        <f>AVERAGE(AT64,AX64,BB64,BF64)</f>
        <v>4490.4062364130132</v>
      </c>
      <c r="BM64" s="6">
        <f t="shared" ref="BM64:BO71" si="6">STDEV(AR64,AV64,AZ64,BD64)</f>
        <v>2.1244870696086449</v>
      </c>
      <c r="BN64" s="6">
        <f t="shared" si="6"/>
        <v>1.747470986980151</v>
      </c>
      <c r="BO64" s="6">
        <f t="shared" si="6"/>
        <v>2.2585908065511862</v>
      </c>
      <c r="BP64" s="2">
        <f>COUNTA(AR64,AV64,AZ64,BD64)</f>
        <v>4</v>
      </c>
    </row>
    <row r="65" spans="3:68">
      <c r="C65" s="2" t="s">
        <v>136</v>
      </c>
      <c r="D65" s="2"/>
      <c r="E65" s="2"/>
      <c r="F65" s="14">
        <f t="array" ref="F65:H65">MMULT(F48:H48,TRANSPOSE($F$37:$H$39))</f>
        <v>-10.860516030483657</v>
      </c>
      <c r="G65" s="124">
        <v>-66.676148801735849</v>
      </c>
      <c r="H65" s="124">
        <v>-3.1692377736127568</v>
      </c>
      <c r="I65" s="131"/>
      <c r="J65" s="14">
        <f t="array" ref="J65:L65">MMULT(J48:L48,TRANSPOSE($F$37:$H$39))</f>
        <v>-10.86057811130423</v>
      </c>
      <c r="K65" s="124">
        <v>-66.677342646058946</v>
      </c>
      <c r="L65" s="124">
        <v>-3.1684434931769658</v>
      </c>
      <c r="M65" s="2"/>
      <c r="N65" s="14">
        <f t="array" ref="N65:P65">MMULT(N48:P48,TRANSPOSE($F$37:$H$39))</f>
        <v>-10.85950301930917</v>
      </c>
      <c r="O65" s="124">
        <v>-66.677821660983767</v>
      </c>
      <c r="P65" s="124">
        <v>-3.1706783807342305</v>
      </c>
      <c r="Q65" s="2"/>
      <c r="R65" s="14">
        <f t="array" ref="R65:T65">MMULT(R48:T48,TRANSPOSE($F$37:$H$39))</f>
        <v>-10.858298508520965</v>
      </c>
      <c r="S65" s="124">
        <v>-66.67965580736147</v>
      </c>
      <c r="T65" s="124">
        <v>-3.1701935491721507</v>
      </c>
      <c r="AL65" s="2"/>
      <c r="AM65" s="14"/>
      <c r="AN65" s="14"/>
      <c r="AO65" s="14"/>
      <c r="AQ65" s="2" t="s">
        <v>136</v>
      </c>
      <c r="AR65" s="133">
        <f>($AM64-F65)*1000</f>
        <v>-91.971150212870612</v>
      </c>
      <c r="AS65" s="133">
        <f>($AN64-G65)*1000</f>
        <v>-50.269481611366018</v>
      </c>
      <c r="AT65" s="133">
        <f>($AO64-H65)*1000</f>
        <v>-69.841367567399004</v>
      </c>
      <c r="AU65" s="1"/>
      <c r="AV65" s="133">
        <f>($AM64-J65)*1000</f>
        <v>-91.909069392297482</v>
      </c>
      <c r="AW65" s="133">
        <f>($AN64-K65)*1000</f>
        <v>-49.075637288268581</v>
      </c>
      <c r="AX65" s="133">
        <f>($AO64-L65)*1000</f>
        <v>-70.635648003189999</v>
      </c>
      <c r="AZ65" s="133">
        <f>($AM64-N65)*1000</f>
        <v>-92.9841613873581</v>
      </c>
      <c r="BA65" s="133">
        <f>($AN64-O65)*1000</f>
        <v>-48.59662236344775</v>
      </c>
      <c r="BB65" s="133">
        <f>($AO64-P65)*1000</f>
        <v>-68.400760445925357</v>
      </c>
      <c r="BD65" s="133">
        <f>($AM64-R65)*1000</f>
        <v>-94.18867217556226</v>
      </c>
      <c r="BE65" s="133">
        <f>($AN64-S65)*1000</f>
        <v>-46.762475985744345</v>
      </c>
      <c r="BF65" s="133">
        <f>($AO64-T65)*1000</f>
        <v>-68.885592008005148</v>
      </c>
      <c r="BG65" s="157"/>
      <c r="BH65" s="2" t="s">
        <v>147</v>
      </c>
      <c r="BI65" s="6">
        <f t="shared" ref="BI65" si="7">AVERAGE(AR65,AV65,AZ65,BD65)</f>
        <v>-92.763263292022117</v>
      </c>
      <c r="BJ65" s="6">
        <f t="shared" ref="BJ65" si="8">AVERAGE(AS65,AW65,BA65,BE65)</f>
        <v>-48.676054312206674</v>
      </c>
      <c r="BK65" s="6">
        <f t="shared" ref="BK65" si="9">AVERAGE(AT65,AX65,BB65,BF65)</f>
        <v>-69.440842006129884</v>
      </c>
      <c r="BM65" s="6">
        <f t="shared" ref="BM65" si="10">STDEV(AR65,AV65,AZ65,BD65)</f>
        <v>1.0704635759470258</v>
      </c>
      <c r="BN65" s="6">
        <f t="shared" ref="BN65" si="11">STDEV(AS65,AW65,BA65,BE65)</f>
        <v>1.4567965493340449</v>
      </c>
      <c r="BO65" s="6">
        <f t="shared" ref="BO65" si="12">STDEV(AT65,AX65,BB65,BF65)</f>
        <v>0.99633567103591525</v>
      </c>
      <c r="BP65" s="2">
        <f>COUNTA(AR65,AV65,AZ65,BD65)</f>
        <v>4</v>
      </c>
    </row>
    <row r="66" spans="3:68">
      <c r="C66" s="2" t="s">
        <v>141</v>
      </c>
      <c r="D66" s="2"/>
      <c r="E66" s="2"/>
      <c r="F66" s="14">
        <f t="array" ref="F66:H66">MMULT(F49:H49,TRANSPOSE($F$37:$H$39))</f>
        <v>-10.860486239934934</v>
      </c>
      <c r="G66" s="124">
        <v>-66.676102544475953</v>
      </c>
      <c r="H66" s="124">
        <v>-3.2891991296312142</v>
      </c>
      <c r="I66" s="131"/>
      <c r="J66" s="14">
        <f t="array" ref="J66:L66">MMULT(J49:L49,TRANSPOSE($F$37:$H$39))</f>
        <v>-10.860548320755505</v>
      </c>
      <c r="K66" s="124">
        <v>-66.677377335563833</v>
      </c>
      <c r="L66" s="124">
        <v>-3.288463566147243</v>
      </c>
      <c r="M66" s="2"/>
      <c r="N66" s="14">
        <f t="array" ref="N66:P66">MMULT(N49:P49,TRANSPOSE($F$37:$H$39))</f>
        <v>-10.859536624335409</v>
      </c>
      <c r="O66" s="124">
        <v>-66.677810940862742</v>
      </c>
      <c r="P66" s="124">
        <v>-3.2907610550860866</v>
      </c>
      <c r="Q66" s="2"/>
      <c r="R66" s="14">
        <f t="array" ref="R66:T66">MMULT(R49:T49,TRANSPOSE($F$37:$H$39))</f>
        <v>-10.858268717972237</v>
      </c>
      <c r="S66" s="124">
        <v>-66.679690496866357</v>
      </c>
      <c r="T66" s="124">
        <v>-3.2902136221424243</v>
      </c>
      <c r="AL66" s="2"/>
      <c r="AM66" s="14"/>
      <c r="AN66" s="14"/>
      <c r="AO66" s="14"/>
      <c r="AQ66" s="2" t="s">
        <v>141</v>
      </c>
      <c r="AR66" s="133">
        <f>($AM64-F66)*1000</f>
        <v>-92.000940761593597</v>
      </c>
      <c r="AS66" s="133">
        <f>($AN64-G66)*1000</f>
        <v>-50.315738871262283</v>
      </c>
      <c r="AT66" s="133">
        <f>($AO64-H66)*1000</f>
        <v>50.119988451058362</v>
      </c>
      <c r="AU66" s="1"/>
      <c r="AV66" s="133">
        <f>($AM64-J66)*1000</f>
        <v>-91.938859941022244</v>
      </c>
      <c r="AW66" s="133">
        <f>($AN64-K66)*1000</f>
        <v>-49.040947783382194</v>
      </c>
      <c r="AX66" s="133">
        <f>($AO64-L66)*1000</f>
        <v>49.38442496708717</v>
      </c>
      <c r="AZ66" s="133">
        <f>($AM64-N66)*1000</f>
        <v>-92.950556361119041</v>
      </c>
      <c r="BA66" s="133">
        <f>($AN64-O66)*1000</f>
        <v>-48.607342484473293</v>
      </c>
      <c r="BB66" s="133">
        <f>($AO64-P66)*1000</f>
        <v>51.681913905930799</v>
      </c>
      <c r="BD66" s="133">
        <f>($AM64-R66)*1000</f>
        <v>-94.218462724290575</v>
      </c>
      <c r="BE66" s="133">
        <f>($AN64-S66)*1000</f>
        <v>-46.727786480857958</v>
      </c>
      <c r="BF66" s="133">
        <f>($AO64-T66)*1000</f>
        <v>51.134480962268469</v>
      </c>
      <c r="BG66" s="157"/>
      <c r="BH66" s="168" t="s">
        <v>141</v>
      </c>
      <c r="BI66" s="169">
        <f t="shared" ref="BI66" si="13">AVERAGE(AR66,AV66,AZ66,BD66)</f>
        <v>-92.777204947006368</v>
      </c>
      <c r="BJ66" s="169">
        <f t="shared" ref="BJ66" si="14">AVERAGE(AS66,AW66,BA66,BE66)</f>
        <v>-48.672953904993932</v>
      </c>
      <c r="BK66" s="169">
        <f t="shared" ref="BK66" si="15">AVERAGE(AT66,AX66,BB66,BF66)</f>
        <v>50.5802020715862</v>
      </c>
      <c r="BL66" s="170"/>
      <c r="BM66" s="169">
        <f t="shared" ref="BM66" si="16">STDEV(AR66,AV66,AZ66,BD66)</f>
        <v>1.0665650672400238</v>
      </c>
      <c r="BN66" s="169">
        <f t="shared" ref="BN66" si="17">STDEV(AS66,AW66,BA66,BE66)</f>
        <v>1.4857257605124685</v>
      </c>
      <c r="BO66" s="169">
        <f t="shared" ref="BO66" si="18">STDEV(AT66,AX66,BB66,BF66)</f>
        <v>1.0267543547110529</v>
      </c>
      <c r="BP66" s="168">
        <f>COUNTA(AR66,AV66,AZ66,BD66)</f>
        <v>4</v>
      </c>
    </row>
    <row r="67" spans="3:68">
      <c r="C67" s="2" t="s">
        <v>29</v>
      </c>
      <c r="D67" s="2"/>
      <c r="E67" s="2"/>
      <c r="F67" s="14">
        <f t="array" ref="F67:H67">MMULT(F50:H50,TRANSPOSE($F$37:$H$39))</f>
        <v>18.286926707091073</v>
      </c>
      <c r="G67" s="124">
        <v>-24.05786594878159</v>
      </c>
      <c r="H67" s="124">
        <v>-4.484226699715812</v>
      </c>
      <c r="I67" s="131"/>
      <c r="J67" s="124">
        <f t="array" ref="J67:L67">MMULT(J50:L50,TRANSPOSE($F$37:$H$39))</f>
        <v>18.288131218239407</v>
      </c>
      <c r="K67" s="14">
        <v>-24.057919271438038</v>
      </c>
      <c r="L67" s="14">
        <v>-4.4824500992806868</v>
      </c>
      <c r="M67" s="2"/>
      <c r="N67" s="14"/>
      <c r="O67" s="14"/>
      <c r="P67" s="14"/>
      <c r="Q67" s="2"/>
      <c r="R67" s="14"/>
      <c r="S67" s="14"/>
      <c r="T67" s="14"/>
      <c r="AL67" s="2" t="s">
        <v>29</v>
      </c>
      <c r="AM67" s="14">
        <f t="array" ref="AM67:AO67">MMULT(AM50:AO50,TRANSPOSE($F$37:$H$39))</f>
        <v>18.300368680292362</v>
      </c>
      <c r="AN67" s="124">
        <v>-24.035169531774876</v>
      </c>
      <c r="AO67" s="124">
        <v>-4.5574118486536683</v>
      </c>
      <c r="AQ67" s="2" t="s">
        <v>29</v>
      </c>
      <c r="AR67" s="133">
        <f>($AM67-F67)*1000</f>
        <v>13.441973201288704</v>
      </c>
      <c r="AS67" s="133">
        <f>($AN67-G67)*1000</f>
        <v>22.696417006713432</v>
      </c>
      <c r="AT67" s="133">
        <f>($AO67-H67)*1000</f>
        <v>-73.185148937856326</v>
      </c>
      <c r="AU67" s="1"/>
      <c r="AV67" s="133">
        <f>($AM67-J67)*1000</f>
        <v>12.237462052954839</v>
      </c>
      <c r="AW67" s="133">
        <f>($AN67-K67)*1000</f>
        <v>22.749739663161961</v>
      </c>
      <c r="AX67" s="133">
        <f>($AO67-L67)*1000</f>
        <v>-74.961749372981501</v>
      </c>
      <c r="AZ67" s="133"/>
      <c r="BA67" s="133"/>
      <c r="BB67" s="133"/>
      <c r="BH67" s="168" t="s">
        <v>29</v>
      </c>
      <c r="BI67" s="169">
        <f t="shared" ref="BI67:BI71" si="19">AVERAGE(AR67,AV67,AZ67,BD67)</f>
        <v>12.839717627121772</v>
      </c>
      <c r="BJ67" s="169">
        <f t="shared" ref="BJ67:BJ71" si="20">AVERAGE(AS67,AW67,BA67,BE67)</f>
        <v>22.723078334937696</v>
      </c>
      <c r="BK67" s="169">
        <f t="shared" ref="BK67:BK71" si="21">AVERAGE(AT67,AX67,BB67,BF67)</f>
        <v>-74.073449155418913</v>
      </c>
      <c r="BL67" s="170"/>
      <c r="BM67" s="169">
        <f t="shared" si="6"/>
        <v>0.85171800100167094</v>
      </c>
      <c r="BN67" s="169">
        <f t="shared" si="6"/>
        <v>3.7704811965635417E-2</v>
      </c>
      <c r="BO67" s="169">
        <f t="shared" si="6"/>
        <v>1.2562462151359823</v>
      </c>
      <c r="BP67" s="168">
        <f t="shared" ref="BP67:BP71" si="22">COUNTA(AR67,AV67,AZ67,BD67)</f>
        <v>2</v>
      </c>
    </row>
    <row r="68" spans="3:68">
      <c r="C68" s="2" t="s">
        <v>137</v>
      </c>
      <c r="D68" s="2"/>
      <c r="E68" s="2"/>
      <c r="F68" s="14">
        <f t="array" ref="F68:H68">MMULT(F51:H51,TRANSPOSE($F$37:$H$39))</f>
        <v>7.4264106766074178</v>
      </c>
      <c r="G68" s="124">
        <v>-90.734014750517446</v>
      </c>
      <c r="H68" s="124">
        <v>-7.6534644733285688</v>
      </c>
      <c r="I68" s="131"/>
      <c r="J68" s="14">
        <f t="array" ref="J68:L68">MMULT(J51:L51,TRANSPOSE($F$37:$H$39))</f>
        <v>7.4275531069351786</v>
      </c>
      <c r="K68" s="124">
        <v>-90.735261917496985</v>
      </c>
      <c r="L68" s="124">
        <v>-7.6508935924576562</v>
      </c>
      <c r="M68" s="2"/>
      <c r="N68" s="14"/>
      <c r="O68" s="14"/>
      <c r="P68" s="14"/>
      <c r="Q68" s="2"/>
      <c r="R68" s="14"/>
      <c r="S68" s="14"/>
      <c r="T68" s="14"/>
      <c r="AL68" s="2" t="s">
        <v>138</v>
      </c>
      <c r="AM68" s="14">
        <f t="array" ref="AM68:AO68">MMULT(AM51:AO51,TRANSPOSE($F$37:$H$39))</f>
        <v>7.3478814995958324</v>
      </c>
      <c r="AN68" s="124">
        <v>-90.761587815122098</v>
      </c>
      <c r="AO68" s="124">
        <v>-7.7964909898338206</v>
      </c>
      <c r="AQ68" s="2" t="s">
        <v>137</v>
      </c>
      <c r="AR68" s="133">
        <f>(AM68-F68)*1000</f>
        <v>-78.52917701158546</v>
      </c>
      <c r="AS68" s="133">
        <f>(AN68-G68)*1000</f>
        <v>-27.573064604652586</v>
      </c>
      <c r="AT68" s="133">
        <f>(AO68-H68)*1000</f>
        <v>-143.02651650525178</v>
      </c>
      <c r="AU68" s="1"/>
      <c r="AV68" s="133">
        <f>($AM68-J68)*1000</f>
        <v>-79.671607339346195</v>
      </c>
      <c r="AW68" s="133">
        <f>($AN68-K68)*1000</f>
        <v>-26.325897625113726</v>
      </c>
      <c r="AX68" s="133">
        <f>($AO68-L68)*1000</f>
        <v>-145.59739737616439</v>
      </c>
      <c r="AZ68" s="133"/>
      <c r="BA68" s="133"/>
      <c r="BB68" s="133"/>
      <c r="BH68" s="2" t="s">
        <v>146</v>
      </c>
      <c r="BI68" s="6">
        <f t="shared" ref="BI68" si="23">AVERAGE(AR68,AV68,AZ68,BD68)</f>
        <v>-79.100392175465828</v>
      </c>
      <c r="BJ68" s="6">
        <f t="shared" ref="BJ68" si="24">AVERAGE(AS68,AW68,BA68,BE68)</f>
        <v>-26.949481114883156</v>
      </c>
      <c r="BK68" s="6">
        <f t="shared" ref="BK68" si="25">AVERAGE(AT68,AX68,BB68,BF68)</f>
        <v>-144.31195694070809</v>
      </c>
      <c r="BM68" s="6">
        <f t="shared" ref="BM68" si="26">STDEV(AR68,AV68,AZ68,BD68)</f>
        <v>0.80782023179278584</v>
      </c>
      <c r="BN68" s="6">
        <f t="shared" ref="BN68" si="27">STDEV(AS68,AW68,BA68,BE68)</f>
        <v>0.8818802285038726</v>
      </c>
      <c r="BO68" s="6">
        <f t="shared" ref="BO68" si="28">STDEV(AT68,AX68,BB68,BF68)</f>
        <v>1.8178872974450888</v>
      </c>
      <c r="BP68" s="2">
        <f>COUNTA(AR68,AV68,AZ68,BD68)</f>
        <v>2</v>
      </c>
    </row>
    <row r="69" spans="3:68">
      <c r="C69" s="2" t="s">
        <v>142</v>
      </c>
      <c r="D69" s="2"/>
      <c r="E69" s="2"/>
      <c r="F69" s="14">
        <f t="array" ref="F69:H69">MMULT(F52:H52,TRANSPOSE($F$37:$H$39))</f>
        <v>7.4264404671561408</v>
      </c>
      <c r="G69" s="124">
        <v>-90.733968493257549</v>
      </c>
      <c r="H69" s="124">
        <v>-7.7734258293470262</v>
      </c>
      <c r="I69" s="131"/>
      <c r="J69" s="14">
        <f t="array" ref="J69:L69">MMULT(J52:L52,TRANSPOSE($F$37:$H$39))</f>
        <v>7.4275828974839051</v>
      </c>
      <c r="K69" s="124">
        <v>-90.735296607001871</v>
      </c>
      <c r="L69" s="124">
        <v>-7.7709136654279263</v>
      </c>
      <c r="M69" s="2"/>
      <c r="N69" s="14"/>
      <c r="O69" s="14"/>
      <c r="P69" s="14"/>
      <c r="Q69" s="2"/>
      <c r="R69" s="14"/>
      <c r="S69" s="14"/>
      <c r="T69" s="14"/>
      <c r="AL69" s="2"/>
      <c r="AM69" s="14"/>
      <c r="AN69" s="124"/>
      <c r="AO69" s="124"/>
      <c r="AQ69" s="2" t="s">
        <v>142</v>
      </c>
      <c r="AR69" s="133">
        <f>(AM68-F69)*1000</f>
        <v>-78.558967560308446</v>
      </c>
      <c r="AS69" s="133">
        <f>(AN68-G69)*1000</f>
        <v>-27.619321864548851</v>
      </c>
      <c r="AT69" s="133">
        <f>(AO68-H69)*1000</f>
        <v>-23.065160486794412</v>
      </c>
      <c r="AU69" s="1"/>
      <c r="AV69" s="133">
        <f>($AM68-J69)*1000</f>
        <v>-79.701397888072734</v>
      </c>
      <c r="AW69" s="133">
        <f>($AN68-K69)*1000</f>
        <v>-26.291208120227338</v>
      </c>
      <c r="AX69" s="133">
        <f>($AO68-L69)*1000</f>
        <v>-25.577324405894331</v>
      </c>
      <c r="AZ69" s="133"/>
      <c r="BA69" s="133"/>
      <c r="BB69" s="133"/>
      <c r="BH69" s="168" t="s">
        <v>142</v>
      </c>
      <c r="BI69" s="169">
        <f t="shared" ref="BI69" si="29">AVERAGE(AR69,AV69,AZ69,BD69)</f>
        <v>-79.13018272419059</v>
      </c>
      <c r="BJ69" s="169">
        <f t="shared" ref="BJ69" si="30">AVERAGE(AS69,AW69,BA69,BE69)</f>
        <v>-26.955264992388095</v>
      </c>
      <c r="BK69" s="169">
        <f t="shared" ref="BK69" si="31">AVERAGE(AT69,AX69,BB69,BF69)</f>
        <v>-24.321242446344371</v>
      </c>
      <c r="BL69" s="170"/>
      <c r="BM69" s="169">
        <f t="shared" ref="BM69" si="32">STDEV(AR69,AV69,AZ69,BD69)</f>
        <v>0.80782023179529805</v>
      </c>
      <c r="BN69" s="169">
        <f t="shared" ref="BN69" si="33">STDEV(AS69,AW69,BA69,BE69)</f>
        <v>0.93911823479679835</v>
      </c>
      <c r="BO69" s="169">
        <f t="shared" ref="BO69" si="34">STDEV(AT69,AX69,BB69,BF69)</f>
        <v>1.776368142647726</v>
      </c>
      <c r="BP69" s="168">
        <f>COUNTA(AR69,AV69,AZ69,BD69)</f>
        <v>2</v>
      </c>
    </row>
    <row r="70" spans="3:68">
      <c r="C70" s="2" t="s">
        <v>30</v>
      </c>
      <c r="D70" s="2"/>
      <c r="E70" s="2"/>
      <c r="F70" s="14">
        <f t="array" ref="F70:H70">MMULT(F53:H53,TRANSPOSE($F$37:$H$39))</f>
        <v>-217.83904964663128</v>
      </c>
      <c r="G70" s="124">
        <v>-59.560844200201259</v>
      </c>
      <c r="H70" s="124">
        <v>-20.493743928354647</v>
      </c>
      <c r="I70" s="131"/>
      <c r="J70" s="124">
        <f t="array" ref="J70:L70">MMULT(J53:L53,TRANSPOSE($F$37:$H$39))</f>
        <v>-217.83671664694805</v>
      </c>
      <c r="K70" s="14">
        <v>-59.563765307271588</v>
      </c>
      <c r="L70" s="14">
        <v>-20.49039814800782</v>
      </c>
      <c r="M70" s="2"/>
      <c r="N70" s="14"/>
      <c r="O70" s="14"/>
      <c r="P70" s="14"/>
      <c r="Q70" s="2"/>
      <c r="R70" s="14"/>
      <c r="S70" s="14"/>
      <c r="T70" s="14"/>
      <c r="AL70" s="2" t="s">
        <v>30</v>
      </c>
      <c r="AM70" s="14">
        <f t="array" ref="AM70:AO70">MMULT(AM53:AO53,TRANSPOSE($F$37:$H$39))</f>
        <v>-217.82837420924062</v>
      </c>
      <c r="AN70" s="124">
        <v>-59.546809442891629</v>
      </c>
      <c r="AO70" s="124">
        <v>-20.528079342252241</v>
      </c>
      <c r="AQ70" s="2" t="s">
        <v>30</v>
      </c>
      <c r="AR70" s="133">
        <f>($AM70-F70)*1000</f>
        <v>10.675437390659681</v>
      </c>
      <c r="AS70" s="133">
        <f>($AN70-G70)*1000</f>
        <v>14.034757309630663</v>
      </c>
      <c r="AT70" s="133">
        <f>($AO70-H70)*1000</f>
        <v>-34.33541389759398</v>
      </c>
      <c r="AU70" s="1"/>
      <c r="AV70" s="133">
        <f>($AM70-J70)*1000</f>
        <v>8.3424377074265976</v>
      </c>
      <c r="AW70" s="133">
        <f>($AN70-K70)*1000</f>
        <v>16.955864379958996</v>
      </c>
      <c r="AX70" s="133">
        <f>($AO70-L70)*1000</f>
        <v>-37.681194244420624</v>
      </c>
      <c r="AZ70" s="133"/>
      <c r="BA70" s="133"/>
      <c r="BB70" s="133"/>
      <c r="BH70" s="168" t="s">
        <v>30</v>
      </c>
      <c r="BI70" s="169">
        <f t="shared" si="19"/>
        <v>9.5089375490431394</v>
      </c>
      <c r="BJ70" s="169">
        <f t="shared" si="20"/>
        <v>15.49531084479483</v>
      </c>
      <c r="BK70" s="169">
        <f t="shared" si="21"/>
        <v>-36.008304071007302</v>
      </c>
      <c r="BL70" s="170"/>
      <c r="BM70" s="169">
        <f t="shared" si="6"/>
        <v>1.6496798965201771</v>
      </c>
      <c r="BN70" s="169">
        <f t="shared" si="6"/>
        <v>2.0655346180011334</v>
      </c>
      <c r="BO70" s="169">
        <f t="shared" si="6"/>
        <v>2.3658239716017984</v>
      </c>
      <c r="BP70" s="168">
        <f t="shared" si="22"/>
        <v>2</v>
      </c>
    </row>
    <row r="71" spans="3:68">
      <c r="C71" s="2" t="s">
        <v>31</v>
      </c>
      <c r="D71" s="2"/>
      <c r="E71" s="2"/>
      <c r="F71" s="14">
        <f t="array" ref="F71:H71">MMULT(F55:H55,TRANSPOSE($F$37:$H$39))</f>
        <v>236.12597635372231</v>
      </c>
      <c r="G71" s="124">
        <v>35.50297825141967</v>
      </c>
      <c r="H71" s="124">
        <v>16.009517228638838</v>
      </c>
      <c r="I71" s="131"/>
      <c r="J71" s="124">
        <f t="array" ref="J71:L71">MMULT(J55:L55,TRANSPOSE($F$37:$H$39))</f>
        <v>236.12484786518746</v>
      </c>
      <c r="K71" s="14">
        <v>35.505846035833557</v>
      </c>
      <c r="L71" s="14">
        <v>16.007948048727144</v>
      </c>
      <c r="M71" s="2"/>
      <c r="N71" s="14"/>
      <c r="O71" s="14"/>
      <c r="P71" s="14"/>
      <c r="Q71" s="2"/>
      <c r="R71" s="2"/>
      <c r="S71" s="2"/>
      <c r="T71" s="2"/>
      <c r="AL71" s="2" t="s">
        <v>31</v>
      </c>
      <c r="AM71" s="14">
        <f t="array" ref="AM71:AO71">MMULT(AM55:AO55,TRANSPOSE($F$37:$H$39))</f>
        <v>236.12874288953299</v>
      </c>
      <c r="AN71" s="124">
        <v>35.51163991111676</v>
      </c>
      <c r="AO71" s="124">
        <v>15.970667493598562</v>
      </c>
      <c r="AQ71" s="2" t="s">
        <v>31</v>
      </c>
      <c r="AR71" s="133">
        <f>($AM71-F71)*1000</f>
        <v>2.7665358106787608</v>
      </c>
      <c r="AS71" s="133">
        <f>($AN71-G71)*1000</f>
        <v>8.661659697089874</v>
      </c>
      <c r="AT71" s="133">
        <f>($AO71-H71)*1000</f>
        <v>-38.849735040276556</v>
      </c>
      <c r="AU71" s="1"/>
      <c r="AV71" s="133">
        <f>($AM71-J71)*1000</f>
        <v>3.8950243455246891</v>
      </c>
      <c r="AW71" s="133">
        <f>($AN71-K71)*1000</f>
        <v>5.793875283202965</v>
      </c>
      <c r="AX71" s="133">
        <f>($AO71-L71)*1000</f>
        <v>-37.280555128582193</v>
      </c>
      <c r="AZ71" s="133"/>
      <c r="BA71" s="133"/>
      <c r="BB71" s="133"/>
      <c r="BH71" s="168" t="s">
        <v>31</v>
      </c>
      <c r="BI71" s="169">
        <f t="shared" si="19"/>
        <v>3.3307800781017249</v>
      </c>
      <c r="BJ71" s="169">
        <f t="shared" si="20"/>
        <v>7.2277674901464195</v>
      </c>
      <c r="BK71" s="169">
        <f t="shared" si="21"/>
        <v>-38.065145084429375</v>
      </c>
      <c r="BL71" s="170"/>
      <c r="BM71" s="169">
        <f t="shared" si="6"/>
        <v>0.79796189548082674</v>
      </c>
      <c r="BN71" s="169">
        <f t="shared" si="6"/>
        <v>2.0278298060405211</v>
      </c>
      <c r="BO71" s="169">
        <f t="shared" si="6"/>
        <v>1.1095777564607918</v>
      </c>
      <c r="BP71" s="168">
        <f t="shared" si="22"/>
        <v>2</v>
      </c>
    </row>
    <row r="72" spans="3:68" ht="15.75" thickBot="1">
      <c r="C72" s="144" t="s">
        <v>140</v>
      </c>
      <c r="D72" s="7"/>
      <c r="E72" s="7"/>
      <c r="F72" s="14">
        <f t="array" ref="F72:H72">MMULT(F56:H56,TRANSPOSE($F$37:$H$39))</f>
        <v>-2.9790548725559807E-5</v>
      </c>
      <c r="G72" s="124">
        <v>-4.6257259891331615E-5</v>
      </c>
      <c r="H72" s="124">
        <v>0.11996135601845781</v>
      </c>
      <c r="I72" s="134"/>
      <c r="J72" s="14">
        <f t="array" ref="J72:L72">MMULT(J56:L56,TRANSPOSE($F$37:$H$39))</f>
        <v>-2.9790548725559807E-5</v>
      </c>
      <c r="K72" s="124">
        <v>3.4689504882688682E-5</v>
      </c>
      <c r="L72" s="124">
        <v>0.12002007297027172</v>
      </c>
      <c r="M72" s="7"/>
      <c r="N72" s="14">
        <f t="array" ref="N72:P72">MMULT(N56:P56,TRANSPOSE($F$37:$H$39))</f>
        <v>3.3605026239537372E-5</v>
      </c>
      <c r="O72" s="124">
        <v>-1.0720121014655415E-5</v>
      </c>
      <c r="P72" s="124">
        <v>0.12008267435185634</v>
      </c>
      <c r="Q72" s="7"/>
      <c r="R72" s="14">
        <f t="array" ref="R72:T72">MMULT(R56:T56,TRANSPOSE($F$37:$H$39))</f>
        <v>-2.9790548725559807E-5</v>
      </c>
      <c r="S72" s="124">
        <v>3.4689504882688682E-5</v>
      </c>
      <c r="T72" s="124">
        <v>0.12002007297027172</v>
      </c>
      <c r="AL72" s="7"/>
      <c r="AM72" s="16"/>
      <c r="AN72" s="129"/>
      <c r="AO72" s="129"/>
      <c r="AR72" s="157"/>
      <c r="AS72" s="157"/>
      <c r="AT72" s="157"/>
      <c r="AU72" s="1"/>
      <c r="AV72" s="157"/>
      <c r="AW72" s="157"/>
      <c r="AX72" s="157"/>
      <c r="AZ72" s="157"/>
      <c r="BA72" s="157"/>
      <c r="BB72" s="157"/>
      <c r="BH72" s="7"/>
      <c r="BI72" s="8"/>
      <c r="BJ72" s="8"/>
      <c r="BK72" s="8"/>
      <c r="BM72" s="8"/>
      <c r="BN72" s="8"/>
      <c r="BO72" s="8"/>
      <c r="BP72" s="7"/>
    </row>
    <row r="73" spans="3:68">
      <c r="C73" s="144" t="s">
        <v>165</v>
      </c>
      <c r="D73" s="7"/>
      <c r="E73" s="7"/>
      <c r="F73" s="14">
        <f t="array" ref="F73:H73">MMULT(F57:H57,TRANSPOSE($F$37:$H$39))</f>
        <v>1.5317563829747121</v>
      </c>
      <c r="G73" s="124">
        <v>10.019390565795476</v>
      </c>
      <c r="H73" s="124">
        <v>4.4422591961185081</v>
      </c>
      <c r="I73" s="134"/>
      <c r="J73" s="14">
        <f t="array" ref="J73:L73">MMULT(J57:L57,TRANSPOSE($F$37:$H$39))</f>
        <v>1.5318818596005359</v>
      </c>
      <c r="K73" s="124">
        <v>10.019324802194181</v>
      </c>
      <c r="L73" s="124">
        <v>4.4406467663432929</v>
      </c>
      <c r="M73" s="7"/>
      <c r="N73" s="14">
        <f t="array" ref="N73:P73">MMULT(N57:P57,TRANSPOSE($F$37:$H$39))</f>
        <v>1.5315293710765641</v>
      </c>
      <c r="O73" s="124">
        <v>10.01992442201511</v>
      </c>
      <c r="P73" s="124">
        <v>4.4401607531568441</v>
      </c>
      <c r="Q73" s="7"/>
      <c r="R73" s="14">
        <f t="array" ref="R73:T73">MMULT(R57:T57,TRANSPOSE($F$37:$H$39))</f>
        <v>1.5295704300487354</v>
      </c>
      <c r="S73" s="124">
        <v>10.019928935507894</v>
      </c>
      <c r="T73" s="124">
        <v>4.4362374217470677</v>
      </c>
      <c r="AL73" s="160" t="s">
        <v>164</v>
      </c>
      <c r="AM73" s="124">
        <v>1.532</v>
      </c>
      <c r="AN73" s="124">
        <v>10.019</v>
      </c>
      <c r="AO73" s="124">
        <v>4.4429999999999996</v>
      </c>
      <c r="AQ73" s="2" t="s">
        <v>156</v>
      </c>
      <c r="AR73" s="14">
        <f>($AM73-F73)*1000</f>
        <v>0.24361702528796769</v>
      </c>
      <c r="AS73" s="14">
        <f>($AN73-G73)*1000</f>
        <v>-0.3905657954756947</v>
      </c>
      <c r="AT73" s="14">
        <f>($AO73-H73)*1000</f>
        <v>0.74080388149155851</v>
      </c>
      <c r="AU73" s="1"/>
      <c r="AV73" s="14">
        <f>($AM73-J73)*1000</f>
        <v>0.11814039946411725</v>
      </c>
      <c r="AW73" s="14">
        <f>($AN73-K73)*1000</f>
        <v>-0.3248021941804069</v>
      </c>
      <c r="AX73" s="14">
        <f>($AO73-L73)*1000</f>
        <v>2.3532336567066992</v>
      </c>
      <c r="AZ73" s="14">
        <f>($AM73-N73)*1000</f>
        <v>0.47062892343596729</v>
      </c>
      <c r="BA73" s="14">
        <f>($AN73-O73)*1000</f>
        <v>-0.92442201511033772</v>
      </c>
      <c r="BB73" s="14">
        <f>($AO73-P73)*1000</f>
        <v>2.8392468431555073</v>
      </c>
      <c r="BD73" s="14">
        <f>($AM73-R73)*1000</f>
        <v>2.4295699512646429</v>
      </c>
      <c r="BE73" s="14">
        <f>($AN73-S73)*1000</f>
        <v>-0.92893550789341361</v>
      </c>
      <c r="BF73" s="14">
        <f>($AO73-T73)*1000</f>
        <v>6.7625782529319167</v>
      </c>
      <c r="BH73" s="17" t="s">
        <v>167</v>
      </c>
      <c r="BI73" s="325" t="s">
        <v>7</v>
      </c>
      <c r="BJ73" s="325"/>
      <c r="BK73" s="325"/>
      <c r="BL73" s="32"/>
      <c r="BM73" s="325" t="s">
        <v>126</v>
      </c>
      <c r="BN73" s="325"/>
      <c r="BO73" s="325"/>
      <c r="BP73" s="19" t="s">
        <v>4</v>
      </c>
    </row>
    <row r="74" spans="3:68">
      <c r="C74" s="31"/>
      <c r="D74" s="7"/>
      <c r="E74" s="7"/>
      <c r="F74" s="16"/>
      <c r="G74" s="129"/>
      <c r="H74" s="129"/>
      <c r="I74" s="134"/>
      <c r="J74" s="16"/>
      <c r="K74" s="129"/>
      <c r="L74" s="129"/>
      <c r="M74" s="7"/>
      <c r="N74" s="16"/>
      <c r="O74" s="129"/>
      <c r="P74" s="129"/>
      <c r="Q74" s="7"/>
      <c r="R74" s="16"/>
      <c r="S74" s="129"/>
      <c r="T74" s="129"/>
      <c r="AL74" s="7"/>
      <c r="AM74" s="16"/>
      <c r="AN74" s="129"/>
      <c r="AO74" s="129"/>
      <c r="AQ74" s="7"/>
      <c r="AS74" s="157"/>
      <c r="AT74" s="157"/>
      <c r="AU74" s="1"/>
      <c r="AV74" s="157"/>
      <c r="AW74" s="157"/>
      <c r="AX74" s="157"/>
      <c r="AZ74" s="157"/>
      <c r="BA74" s="157"/>
      <c r="BB74" s="157"/>
      <c r="BH74" s="20"/>
      <c r="BI74" s="14" t="s">
        <v>5</v>
      </c>
      <c r="BJ74" s="124" t="s">
        <v>4</v>
      </c>
      <c r="BK74" s="124" t="s">
        <v>6</v>
      </c>
      <c r="BL74" s="7"/>
      <c r="BM74" s="14" t="s">
        <v>5</v>
      </c>
      <c r="BN74" s="124" t="s">
        <v>4</v>
      </c>
      <c r="BO74" s="124" t="s">
        <v>6</v>
      </c>
      <c r="BP74" s="21"/>
    </row>
    <row r="75" spans="3:68" ht="15.75" thickBot="1">
      <c r="AY75" s="1"/>
      <c r="AZ75" s="1"/>
      <c r="BA75" s="1"/>
      <c r="BH75" s="180" t="s">
        <v>164</v>
      </c>
      <c r="BI75" s="188">
        <f>AVERAGE(AR73,AV73,AZ73,BD73)</f>
        <v>0.81548907486317379</v>
      </c>
      <c r="BJ75" s="188">
        <f>AVERAGE(AS73,AW73,BA73,BE73)</f>
        <v>-0.64218137816496323</v>
      </c>
      <c r="BK75" s="188">
        <f>AVERAGE(AT73,AX73,BB73,BF73)</f>
        <v>3.1739656585714204</v>
      </c>
      <c r="BL75" s="189"/>
      <c r="BM75" s="188">
        <f>STDEV(AR73,AV73,AZ73,BD73)</f>
        <v>1.0858972351276301</v>
      </c>
      <c r="BN75" s="188">
        <f>STDEV(AS73,AW73,BA73,BE73)</f>
        <v>0.32960969642817173</v>
      </c>
      <c r="BO75" s="188">
        <f>STDEV(AT73,AX73,BB73,BF73)</f>
        <v>2.5549986490618419</v>
      </c>
      <c r="BP75" s="190">
        <f>COUNTA(AR73,AV73,AZ73,BD73)</f>
        <v>4</v>
      </c>
    </row>
    <row r="76" spans="3:68">
      <c r="C76" t="s">
        <v>74</v>
      </c>
    </row>
    <row r="77" spans="3:68">
      <c r="C77" s="2" t="s">
        <v>65</v>
      </c>
      <c r="D77" s="2"/>
      <c r="E77" s="2"/>
      <c r="F77" s="14">
        <f>'NEU-Kas'!R29</f>
        <v>-12.3934</v>
      </c>
      <c r="G77" s="124">
        <f>'NEU-Kas'!Q29</f>
        <v>-76.694900000000004</v>
      </c>
      <c r="H77" s="124">
        <f>'NEU-Kas'!S29</f>
        <v>-7.7363</v>
      </c>
      <c r="I77" s="131"/>
      <c r="J77" s="131">
        <f>'NEU-Kas'!N29</f>
        <v>-12.393400000000002</v>
      </c>
      <c r="K77" s="2">
        <f>'NEU-Kas'!M29</f>
        <v>-76.695999999999998</v>
      </c>
      <c r="L77" s="2">
        <f>'NEU-Kas'!O29</f>
        <v>-7.7339000000000002</v>
      </c>
      <c r="M77" s="2"/>
      <c r="N77" s="2">
        <f>'NEU-Kas'!J29</f>
        <v>-12.392100000000001</v>
      </c>
      <c r="O77" s="2">
        <f>'NEU-Kas'!I29</f>
        <v>-76.697099999999992</v>
      </c>
      <c r="P77" s="2">
        <f>'NEU-Kas'!K29</f>
        <v>-7.7358000000000002</v>
      </c>
      <c r="Q77" s="2"/>
      <c r="R77" s="2">
        <f>'NEU-Kas'!F29</f>
        <v>-12.3889</v>
      </c>
      <c r="S77" s="2">
        <f>'NEU-Kas'!E29</f>
        <v>-76.699000000000012</v>
      </c>
      <c r="T77" s="2">
        <f>'NEU-Kas'!G29</f>
        <v>-7.7311999999999994</v>
      </c>
    </row>
    <row r="78" spans="3:68">
      <c r="C78" s="2" t="s">
        <v>29</v>
      </c>
      <c r="D78" s="2"/>
      <c r="E78" s="2"/>
      <c r="F78" s="14">
        <f>'NEU-Kas'!R30</f>
        <v>18.2865</v>
      </c>
      <c r="G78" s="124">
        <f>'NEU-Kas'!Q30</f>
        <v>-24.057400000000001</v>
      </c>
      <c r="H78" s="124">
        <f>'NEU-Kas'!S30</f>
        <v>-4.4882999999999997</v>
      </c>
      <c r="I78" s="131"/>
      <c r="J78" s="131">
        <f>'NEU-Kas'!N30</f>
        <v>18.287600000000001</v>
      </c>
      <c r="K78" s="2">
        <f>'NEU-Kas'!M30</f>
        <v>-24.057599999999994</v>
      </c>
      <c r="L78" s="2">
        <f>'NEU-Kas'!O30</f>
        <v>-4.4864999999999995</v>
      </c>
      <c r="M78" s="2"/>
      <c r="N78" s="2"/>
      <c r="O78" s="2"/>
      <c r="P78" s="2"/>
      <c r="Q78" s="2"/>
      <c r="R78" s="2"/>
      <c r="S78" s="2"/>
      <c r="T78" s="2"/>
    </row>
    <row r="79" spans="3:68">
      <c r="C79" s="2" t="s">
        <v>30</v>
      </c>
      <c r="D79" s="2"/>
      <c r="E79" s="2"/>
      <c r="F79" s="14">
        <f>'NEU-Kas'!R31</f>
        <v>-217.8415</v>
      </c>
      <c r="G79" s="124">
        <f>'NEU-Kas'!Q31</f>
        <v>-59.558800000000005</v>
      </c>
      <c r="H79" s="124">
        <f>'NEU-Kas'!S31</f>
        <v>-20.473300000000002</v>
      </c>
      <c r="I79" s="131"/>
      <c r="J79" s="131">
        <f>'NEU-Kas'!N31</f>
        <v>-217.83920000000001</v>
      </c>
      <c r="K79" s="2">
        <f>'NEU-Kas'!M31</f>
        <v>-59.561799999999991</v>
      </c>
      <c r="L79" s="2">
        <f>'NEU-Kas'!O31</f>
        <v>-20.469899999999999</v>
      </c>
      <c r="M79" s="2"/>
      <c r="N79" s="2"/>
      <c r="O79" s="2"/>
      <c r="P79" s="2"/>
      <c r="Q79" s="2"/>
      <c r="R79" s="2"/>
      <c r="S79" s="2"/>
      <c r="T79" s="2"/>
    </row>
    <row r="80" spans="3:68">
      <c r="C80" s="2" t="s">
        <v>31</v>
      </c>
      <c r="D80" s="2"/>
      <c r="E80" s="2"/>
      <c r="F80" s="14">
        <f>'NEU-Kas'!R32</f>
        <v>236.12799999999999</v>
      </c>
      <c r="G80" s="124">
        <f>'NEU-Kas'!Q32</f>
        <v>35.501400000000004</v>
      </c>
      <c r="H80" s="124">
        <f>'NEU-Kas'!S32</f>
        <v>15.984999999999999</v>
      </c>
      <c r="I80" s="131"/>
      <c r="J80" s="131">
        <f>'NEU-Kas'!N32</f>
        <v>236.1268</v>
      </c>
      <c r="K80" s="2">
        <f>'NEU-Kas'!M32</f>
        <v>35.504199999999997</v>
      </c>
      <c r="L80" s="2">
        <f>'NEU-Kas'!O32</f>
        <v>15.9834</v>
      </c>
      <c r="M80" s="2"/>
      <c r="N80" s="2"/>
      <c r="O80" s="2"/>
      <c r="P80" s="2"/>
      <c r="Q80" s="2"/>
      <c r="R80" s="2"/>
      <c r="S80" s="2"/>
      <c r="T80" s="2"/>
    </row>
    <row r="81" spans="3:20">
      <c r="C81" s="31" t="s">
        <v>73</v>
      </c>
    </row>
    <row r="82" spans="3:20">
      <c r="C82" s="2" t="s">
        <v>65</v>
      </c>
      <c r="D82" s="2"/>
      <c r="E82" s="2"/>
      <c r="F82" s="6">
        <f>(F77-F64)*1000</f>
        <v>-1.1573770903563485</v>
      </c>
      <c r="G82" s="133">
        <f t="shared" ref="G82:T82" si="35">(G77-G64)*1000</f>
        <v>0.59311027142427974</v>
      </c>
      <c r="H82" s="133">
        <f t="shared" si="35"/>
        <v>-4.8416742502794818</v>
      </c>
      <c r="I82" s="133"/>
      <c r="J82" s="133">
        <f t="shared" si="35"/>
        <v>-0.9698196439593687</v>
      </c>
      <c r="K82" s="6">
        <f t="shared" si="35"/>
        <v>0.70213775801164502</v>
      </c>
      <c r="L82" s="6">
        <f t="shared" si="35"/>
        <v>-4.7896675094687424</v>
      </c>
      <c r="M82" s="6"/>
      <c r="N82" s="6">
        <f t="shared" si="35"/>
        <v>-1.0340045880248283</v>
      </c>
      <c r="O82" s="6">
        <f t="shared" si="35"/>
        <v>0.63536287787258061</v>
      </c>
      <c r="P82" s="6">
        <f t="shared" si="35"/>
        <v>-4.878191757067718</v>
      </c>
      <c r="Q82" s="6">
        <f t="shared" si="35"/>
        <v>0</v>
      </c>
      <c r="R82" s="6">
        <f t="shared" si="35"/>
        <v>-1.0608519790267223</v>
      </c>
      <c r="S82" s="6">
        <f t="shared" si="35"/>
        <v>0.61943237423633946</v>
      </c>
      <c r="T82" s="6">
        <f t="shared" si="35"/>
        <v>-4.7489561105091838</v>
      </c>
    </row>
    <row r="83" spans="3:20">
      <c r="C83" s="2" t="s">
        <v>29</v>
      </c>
      <c r="D83" s="2"/>
      <c r="E83" s="2"/>
      <c r="F83" s="6">
        <f t="shared" ref="F83:L83" si="36">(F78-F67)*1000</f>
        <v>-0.4267070910728421</v>
      </c>
      <c r="G83" s="133">
        <f t="shared" si="36"/>
        <v>0.46594878158856545</v>
      </c>
      <c r="H83" s="133">
        <f t="shared" si="36"/>
        <v>-4.0733002841877308</v>
      </c>
      <c r="I83" s="133"/>
      <c r="J83" s="133">
        <f t="shared" si="36"/>
        <v>-0.53121823940571744</v>
      </c>
      <c r="K83" s="6">
        <f t="shared" si="36"/>
        <v>0.31927143804466596</v>
      </c>
      <c r="L83" s="6">
        <f t="shared" si="36"/>
        <v>-4.0499007193126602</v>
      </c>
      <c r="M83" s="6"/>
      <c r="N83" s="6"/>
      <c r="O83" s="6"/>
      <c r="P83" s="6"/>
      <c r="Q83" s="6"/>
      <c r="R83" s="6"/>
      <c r="S83" s="6"/>
      <c r="T83" s="6"/>
    </row>
    <row r="84" spans="3:20">
      <c r="C84" s="2" t="s">
        <v>30</v>
      </c>
      <c r="D84" s="2"/>
      <c r="E84" s="2"/>
      <c r="F84" s="6">
        <f t="shared" ref="F84:L84" si="37">(F79-F70)*1000</f>
        <v>-2.4503533687152412</v>
      </c>
      <c r="G84" s="133">
        <f t="shared" si="37"/>
        <v>2.0442002012543981</v>
      </c>
      <c r="H84" s="133">
        <f t="shared" si="37"/>
        <v>20.443928354644925</v>
      </c>
      <c r="I84" s="133"/>
      <c r="J84" s="133">
        <f t="shared" si="37"/>
        <v>-2.4833530519572378</v>
      </c>
      <c r="K84" s="6">
        <f t="shared" si="37"/>
        <v>1.9653072715968278</v>
      </c>
      <c r="L84" s="6">
        <f t="shared" si="37"/>
        <v>20.498148007821015</v>
      </c>
      <c r="M84" s="6"/>
      <c r="N84" s="6"/>
      <c r="O84" s="6"/>
      <c r="P84" s="6"/>
      <c r="Q84" s="6"/>
      <c r="R84" s="6"/>
      <c r="S84" s="6"/>
      <c r="T84" s="6"/>
    </row>
    <row r="85" spans="3:20">
      <c r="C85" s="2" t="s">
        <v>31</v>
      </c>
      <c r="D85" s="2"/>
      <c r="E85" s="2"/>
      <c r="F85" s="6">
        <f t="shared" ref="F85:L85" si="38">(F80-F71)*1000</f>
        <v>2.0236462776779263</v>
      </c>
      <c r="G85" s="133">
        <f t="shared" si="38"/>
        <v>-1.5782514196658326</v>
      </c>
      <c r="H85" s="133">
        <f t="shared" si="38"/>
        <v>-24.517228638838873</v>
      </c>
      <c r="I85" s="133"/>
      <c r="J85" s="133">
        <f t="shared" si="38"/>
        <v>1.9521348125408622</v>
      </c>
      <c r="K85" s="6">
        <f t="shared" si="38"/>
        <v>-1.6460358335592673</v>
      </c>
      <c r="L85" s="6">
        <f t="shared" si="38"/>
        <v>-24.548048727144334</v>
      </c>
      <c r="M85" s="6"/>
      <c r="N85" s="6"/>
      <c r="O85" s="6"/>
      <c r="P85" s="6"/>
      <c r="Q85" s="6"/>
      <c r="R85" s="6"/>
      <c r="S85" s="6"/>
      <c r="T85" s="6"/>
    </row>
  </sheetData>
  <mergeCells count="35">
    <mergeCell ref="BI73:BK73"/>
    <mergeCell ref="BM73:BO73"/>
    <mergeCell ref="F62:H62"/>
    <mergeCell ref="R24:T24"/>
    <mergeCell ref="F46:H46"/>
    <mergeCell ref="J46:L46"/>
    <mergeCell ref="N46:P46"/>
    <mergeCell ref="R46:T46"/>
    <mergeCell ref="J62:L62"/>
    <mergeCell ref="N62:P62"/>
    <mergeCell ref="AP46:AR46"/>
    <mergeCell ref="BI62:BK62"/>
    <mergeCell ref="BM62:BO62"/>
    <mergeCell ref="R62:T62"/>
    <mergeCell ref="F23:H23"/>
    <mergeCell ref="J23:L23"/>
    <mergeCell ref="F24:H24"/>
    <mergeCell ref="J24:L24"/>
    <mergeCell ref="N24:P24"/>
    <mergeCell ref="F8:H8"/>
    <mergeCell ref="J8:L8"/>
    <mergeCell ref="N8:P8"/>
    <mergeCell ref="R8:T8"/>
    <mergeCell ref="AL8:AN8"/>
    <mergeCell ref="BL8:BN8"/>
    <mergeCell ref="BP8:BR8"/>
    <mergeCell ref="V8:X8"/>
    <mergeCell ref="Z8:AB8"/>
    <mergeCell ref="AD8:AF8"/>
    <mergeCell ref="AH8:AJ8"/>
    <mergeCell ref="AP8:AR8"/>
    <mergeCell ref="AT8:AV8"/>
    <mergeCell ref="AX8:AZ8"/>
    <mergeCell ref="BD8:BF8"/>
    <mergeCell ref="BH8:BJ8"/>
  </mergeCells>
  <pageMargins left="0.7" right="0.7" top="0.75" bottom="0.75" header="0.3" footer="0.3"/>
  <pageSetup paperSize="9" orientation="portrait" horizontalDpi="4294967294"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AB3B7-71C2-45D0-8489-9454BBAA16A5}">
  <dimension ref="B1:L20"/>
  <sheetViews>
    <sheetView workbookViewId="0"/>
  </sheetViews>
  <sheetFormatPr defaultRowHeight="15"/>
  <cols>
    <col min="5" max="5" width="17.5703125" style="3" bestFit="1" customWidth="1"/>
    <col min="6" max="7" width="12.5703125" style="3" bestFit="1" customWidth="1"/>
  </cols>
  <sheetData>
    <row r="1" spans="2:12">
      <c r="E1" s="320" t="s">
        <v>61</v>
      </c>
      <c r="F1" s="320"/>
      <c r="G1" s="320"/>
      <c r="I1" s="321" t="s">
        <v>28</v>
      </c>
      <c r="J1" s="321"/>
      <c r="K1" s="321"/>
    </row>
    <row r="2" spans="2:12">
      <c r="B2" s="2"/>
      <c r="C2" s="2"/>
      <c r="D2" s="2"/>
      <c r="E2" s="14" t="s">
        <v>22</v>
      </c>
      <c r="F2" s="14" t="s">
        <v>23</v>
      </c>
      <c r="G2" s="14" t="s">
        <v>24</v>
      </c>
      <c r="H2" s="2"/>
      <c r="I2" s="2"/>
      <c r="J2" s="2"/>
      <c r="K2" s="2"/>
    </row>
    <row r="3" spans="2:12">
      <c r="B3" s="2" t="s">
        <v>21</v>
      </c>
      <c r="C3" s="2"/>
      <c r="D3" s="2"/>
      <c r="E3" s="14">
        <v>-3997525.358</v>
      </c>
      <c r="F3" s="14">
        <v>3276870.889</v>
      </c>
      <c r="G3" s="14">
        <v>3724218.5852999999</v>
      </c>
      <c r="H3" s="2"/>
      <c r="I3" s="14">
        <v>5.9999999999999995E-4</v>
      </c>
      <c r="J3" s="14">
        <v>6.9999999999999999E-4</v>
      </c>
      <c r="K3" s="14">
        <v>2.9999999999999997E-4</v>
      </c>
    </row>
    <row r="4" spans="2:12">
      <c r="B4" s="2"/>
      <c r="C4" s="2"/>
      <c r="D4" s="2"/>
      <c r="E4" s="14"/>
      <c r="F4" s="14"/>
      <c r="G4" s="14"/>
      <c r="H4" s="2"/>
      <c r="I4" s="2"/>
      <c r="J4" s="2"/>
      <c r="K4" s="2"/>
    </row>
    <row r="5" spans="2:12">
      <c r="B5" s="2" t="s">
        <v>25</v>
      </c>
      <c r="C5" s="2"/>
      <c r="D5" s="2"/>
      <c r="E5" s="14">
        <v>-3997505.6455999999</v>
      </c>
      <c r="F5" s="14">
        <v>3276878.3774999999</v>
      </c>
      <c r="G5" s="14">
        <v>3724240.6913000001</v>
      </c>
      <c r="H5" s="2"/>
      <c r="I5" s="14">
        <v>4.0000000000000002E-4</v>
      </c>
      <c r="J5" s="14">
        <v>5.0000000000000001E-4</v>
      </c>
      <c r="K5" s="14">
        <v>2.0000000000000001E-4</v>
      </c>
    </row>
    <row r="6" spans="2:12">
      <c r="B6" s="2"/>
      <c r="C6" s="2"/>
      <c r="D6" s="2"/>
      <c r="E6" s="14"/>
      <c r="F6" s="14"/>
      <c r="G6" s="14"/>
      <c r="H6" s="2"/>
      <c r="I6" s="2"/>
      <c r="J6" s="2"/>
      <c r="K6" s="2"/>
    </row>
    <row r="7" spans="2:12">
      <c r="B7" s="2" t="s">
        <v>26</v>
      </c>
      <c r="C7" s="2"/>
      <c r="D7" s="2"/>
      <c r="E7" s="14">
        <v>-3997649.2357999999</v>
      </c>
      <c r="F7" s="14">
        <v>3276690.7634000001</v>
      </c>
      <c r="G7" s="14">
        <v>3724278.8314</v>
      </c>
      <c r="H7" s="2"/>
      <c r="I7" s="14">
        <v>4.0000000000000002E-4</v>
      </c>
      <c r="J7" s="14">
        <v>4.0000000000000002E-4</v>
      </c>
      <c r="K7" s="14">
        <v>4.0000000000000002E-4</v>
      </c>
    </row>
    <row r="8" spans="2:12">
      <c r="B8" s="2"/>
      <c r="C8" s="2"/>
      <c r="D8" s="2"/>
      <c r="E8" s="14"/>
      <c r="F8" s="14"/>
      <c r="G8" s="14"/>
      <c r="H8" s="2"/>
      <c r="I8" s="14"/>
      <c r="J8" s="14"/>
      <c r="K8" s="14"/>
    </row>
    <row r="9" spans="2:12">
      <c r="B9" s="14" t="s">
        <v>32</v>
      </c>
      <c r="C9" s="14"/>
      <c r="D9" s="14"/>
      <c r="E9" s="14">
        <v>-3997483.5125000002</v>
      </c>
      <c r="F9" s="14">
        <v>3276844.2105</v>
      </c>
      <c r="G9" s="14">
        <v>3724307.3128999998</v>
      </c>
      <c r="H9" s="14"/>
      <c r="I9" s="14"/>
      <c r="J9" s="14"/>
      <c r="K9" s="14"/>
    </row>
    <row r="12" spans="2:12">
      <c r="B12" s="2" t="s">
        <v>29</v>
      </c>
      <c r="C12" s="2"/>
      <c r="D12" s="2"/>
      <c r="E12" s="14">
        <f>E3-E5</f>
        <v>-19.712400000076741</v>
      </c>
      <c r="F12" s="14">
        <f>F3-F5</f>
        <v>-7.4884999999776483</v>
      </c>
      <c r="G12" s="14">
        <f>G3-G5</f>
        <v>-22.106000000145286</v>
      </c>
      <c r="H12" s="2"/>
      <c r="I12" s="2">
        <f>SQRT(I3^2+I5^2)</f>
        <v>7.2111025509279776E-4</v>
      </c>
      <c r="J12" s="2">
        <f>SQRT(J3^2+J5^2)</f>
        <v>8.6023252670426262E-4</v>
      </c>
      <c r="K12" s="2">
        <f>SQRT(K3^2+K5^2)</f>
        <v>3.6055512754639888E-4</v>
      </c>
      <c r="L12" s="2" t="s">
        <v>15</v>
      </c>
    </row>
    <row r="13" spans="2:12" s="1" customFormat="1">
      <c r="E13" s="15">
        <f>E12*1000</f>
        <v>-19712.400000076741</v>
      </c>
      <c r="F13" s="6">
        <f>F12*1000</f>
        <v>-7488.4999999776483</v>
      </c>
      <c r="G13" s="6">
        <f>G12*1000</f>
        <v>-22106.000000145286</v>
      </c>
      <c r="H13" s="6"/>
      <c r="I13" s="6">
        <f>I12*1000</f>
        <v>0.7211102550927978</v>
      </c>
      <c r="J13" s="6">
        <f>J12*1000</f>
        <v>0.86023252670426265</v>
      </c>
      <c r="K13" s="6">
        <f>K12*1000</f>
        <v>0.3605551275463989</v>
      </c>
      <c r="L13" s="6" t="s">
        <v>16</v>
      </c>
    </row>
    <row r="16" spans="2:12">
      <c r="B16" s="2" t="s">
        <v>30</v>
      </c>
      <c r="C16" s="2"/>
      <c r="D16" s="2"/>
      <c r="E16" s="14">
        <f>E3-E7</f>
        <v>123.87779999990016</v>
      </c>
      <c r="F16" s="14">
        <f>F3-F7</f>
        <v>180.12559999991208</v>
      </c>
      <c r="G16" s="14">
        <f>G3-G7</f>
        <v>-60.246100000105798</v>
      </c>
      <c r="H16" s="2"/>
      <c r="I16" s="2">
        <f>SQRT(I7^2+I3^2)</f>
        <v>7.2111025509279776E-4</v>
      </c>
      <c r="J16" s="2">
        <f>SQRT(J7^2+J3^2)</f>
        <v>8.0622577482985494E-4</v>
      </c>
      <c r="K16" s="2">
        <f>SQRT(K7^2+K3^2)</f>
        <v>5.0000000000000001E-4</v>
      </c>
      <c r="L16" s="2" t="s">
        <v>15</v>
      </c>
    </row>
    <row r="17" spans="2:12">
      <c r="B17" s="2"/>
      <c r="C17" s="2"/>
      <c r="D17" s="2"/>
      <c r="E17" s="6">
        <f>E16*1000</f>
        <v>123877.79999990016</v>
      </c>
      <c r="F17" s="6">
        <f>F16*1000</f>
        <v>180125.59999991208</v>
      </c>
      <c r="G17" s="6">
        <f>G16*1000</f>
        <v>-60246.100000105798</v>
      </c>
      <c r="H17" s="2"/>
      <c r="I17" s="6">
        <f>I16*1000</f>
        <v>0.7211102550927978</v>
      </c>
      <c r="J17" s="6">
        <f>J16*1000</f>
        <v>0.80622577482985491</v>
      </c>
      <c r="K17" s="6">
        <f>K16*1000</f>
        <v>0.5</v>
      </c>
      <c r="L17" s="6" t="s">
        <v>16</v>
      </c>
    </row>
    <row r="20" spans="2:12">
      <c r="B20" t="s">
        <v>31</v>
      </c>
      <c r="E20" s="3">
        <f>E16-E12</f>
        <v>143.5901999999769</v>
      </c>
      <c r="F20" s="3">
        <f>F16-F12</f>
        <v>187.61409999988973</v>
      </c>
      <c r="G20" s="3">
        <f>G16-G12</f>
        <v>-38.140099999960512</v>
      </c>
      <c r="H20">
        <f t="array" ref="H20">SQRT(SUM(E20:G20*E20:G20))</f>
        <v>239.31540544396421</v>
      </c>
    </row>
  </sheetData>
  <mergeCells count="2">
    <mergeCell ref="E1:G1"/>
    <mergeCell ref="I1:K1"/>
  </mergeCells>
  <pageMargins left="0.7" right="0.7" top="0.75" bottom="0.75" header="0.3" footer="0.3"/>
  <pageSetup paperSize="9" orientation="portrait" horizontalDpi="4294967294"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46657-4018-4EFF-A371-387F2D863700}">
  <dimension ref="B1:L20"/>
  <sheetViews>
    <sheetView workbookViewId="0"/>
  </sheetViews>
  <sheetFormatPr defaultRowHeight="15"/>
  <cols>
    <col min="5" max="5" width="17.5703125" style="3" bestFit="1" customWidth="1"/>
    <col min="6" max="7" width="12.5703125" style="3" bestFit="1" customWidth="1"/>
  </cols>
  <sheetData>
    <row r="1" spans="2:12">
      <c r="E1" s="320" t="s">
        <v>61</v>
      </c>
      <c r="F1" s="320"/>
      <c r="G1" s="320"/>
      <c r="I1" s="321" t="s">
        <v>28</v>
      </c>
      <c r="J1" s="321"/>
      <c r="K1" s="321"/>
    </row>
    <row r="2" spans="2:12">
      <c r="B2" s="2"/>
      <c r="C2" s="2"/>
      <c r="D2" s="2"/>
      <c r="E2" s="14" t="s">
        <v>22</v>
      </c>
      <c r="F2" s="14" t="s">
        <v>23</v>
      </c>
      <c r="G2" s="14" t="s">
        <v>24</v>
      </c>
      <c r="H2" s="2"/>
      <c r="I2" s="2"/>
      <c r="J2" s="2"/>
      <c r="K2" s="2"/>
    </row>
    <row r="3" spans="2:12">
      <c r="B3" s="2" t="s">
        <v>21</v>
      </c>
      <c r="C3" s="2"/>
      <c r="D3" s="2"/>
      <c r="E3" s="14"/>
      <c r="F3" s="14"/>
      <c r="G3" s="14"/>
      <c r="H3" s="2"/>
      <c r="I3" s="14"/>
      <c r="J3" s="14"/>
      <c r="K3" s="14"/>
    </row>
    <row r="4" spans="2:12">
      <c r="B4" s="2"/>
      <c r="C4" s="2"/>
      <c r="D4" s="2"/>
      <c r="E4" s="14"/>
      <c r="F4" s="14"/>
      <c r="G4" s="14"/>
      <c r="H4" s="2"/>
      <c r="I4" s="2"/>
      <c r="J4" s="2"/>
      <c r="K4" s="2"/>
    </row>
    <row r="5" spans="2:12">
      <c r="B5" s="2" t="s">
        <v>25</v>
      </c>
      <c r="C5" s="2"/>
      <c r="D5" s="2"/>
      <c r="E5" s="14">
        <v>-3997505.6452000001</v>
      </c>
      <c r="F5" s="14">
        <v>3276878.3755000001</v>
      </c>
      <c r="G5" s="14">
        <v>3724240.6893000002</v>
      </c>
      <c r="H5" s="2"/>
      <c r="I5" s="14"/>
      <c r="J5" s="14"/>
      <c r="K5" s="14"/>
    </row>
    <row r="6" spans="2:12">
      <c r="B6" s="2"/>
      <c r="C6" s="2"/>
      <c r="D6" s="2"/>
      <c r="E6" s="14"/>
      <c r="F6" s="14"/>
      <c r="G6" s="14"/>
      <c r="H6" s="2"/>
      <c r="I6" s="2"/>
      <c r="J6" s="2"/>
      <c r="K6" s="2"/>
    </row>
    <row r="7" spans="2:12">
      <c r="B7" s="2" t="s">
        <v>26</v>
      </c>
      <c r="C7" s="2"/>
      <c r="D7" s="2"/>
      <c r="E7" s="14"/>
      <c r="F7" s="14"/>
      <c r="G7" s="14"/>
      <c r="H7" s="2"/>
      <c r="I7" s="14"/>
      <c r="J7" s="14"/>
      <c r="K7" s="14"/>
    </row>
    <row r="8" spans="2:12">
      <c r="B8" s="2"/>
      <c r="C8" s="2"/>
      <c r="D8" s="2"/>
      <c r="E8" s="14"/>
      <c r="F8" s="14"/>
      <c r="G8" s="14"/>
      <c r="H8" s="2"/>
      <c r="I8" s="14"/>
      <c r="J8" s="14"/>
      <c r="K8" s="14"/>
    </row>
    <row r="9" spans="2:12">
      <c r="B9" s="14" t="s">
        <v>32</v>
      </c>
      <c r="C9" s="14"/>
      <c r="D9" s="14"/>
      <c r="E9" s="14">
        <v>-3997483.5118999998</v>
      </c>
      <c r="F9" s="14">
        <v>3276844.2100999998</v>
      </c>
      <c r="G9" s="14">
        <v>3724307.3128</v>
      </c>
      <c r="H9" s="14"/>
      <c r="I9" s="14"/>
      <c r="J9" s="14"/>
      <c r="K9" s="14"/>
    </row>
    <row r="12" spans="2:12">
      <c r="B12" s="2" t="s">
        <v>29</v>
      </c>
      <c r="C12" s="2"/>
      <c r="D12" s="2"/>
      <c r="E12" s="14">
        <f>E3-E5</f>
        <v>3997505.6452000001</v>
      </c>
      <c r="F12" s="14">
        <f>F3-F5</f>
        <v>-3276878.3755000001</v>
      </c>
      <c r="G12" s="14">
        <f>G3-G5</f>
        <v>-3724240.6893000002</v>
      </c>
      <c r="H12" s="2"/>
      <c r="I12" s="2">
        <f>SQRT(I3^2+I5^2)</f>
        <v>0</v>
      </c>
      <c r="J12" s="2">
        <f>SQRT(J3^2+J5^2)</f>
        <v>0</v>
      </c>
      <c r="K12" s="2">
        <f>SQRT(K3^2+K5^2)</f>
        <v>0</v>
      </c>
      <c r="L12" s="2" t="s">
        <v>15</v>
      </c>
    </row>
    <row r="13" spans="2:12" s="1" customFormat="1">
      <c r="E13" s="15">
        <f>E12*1000</f>
        <v>3997505645.2000003</v>
      </c>
      <c r="F13" s="6">
        <f>F12*1000</f>
        <v>-3276878375.5</v>
      </c>
      <c r="G13" s="6">
        <f>G12*1000</f>
        <v>-3724240689.3000002</v>
      </c>
      <c r="H13" s="6"/>
      <c r="I13" s="6">
        <f>I12*1000</f>
        <v>0</v>
      </c>
      <c r="J13" s="6">
        <f>J12*1000</f>
        <v>0</v>
      </c>
      <c r="K13" s="6">
        <f>K12*1000</f>
        <v>0</v>
      </c>
      <c r="L13" s="6" t="s">
        <v>16</v>
      </c>
    </row>
    <row r="16" spans="2:12">
      <c r="B16" s="2" t="s">
        <v>30</v>
      </c>
      <c r="C16" s="2"/>
      <c r="D16" s="2"/>
      <c r="E16" s="14">
        <f>E3-E7</f>
        <v>0</v>
      </c>
      <c r="F16" s="14">
        <f>F3-F7</f>
        <v>0</v>
      </c>
      <c r="G16" s="14">
        <f>G3-G7</f>
        <v>0</v>
      </c>
      <c r="H16" s="2"/>
      <c r="I16" s="2">
        <f>SQRT(I7^2+I3^2)</f>
        <v>0</v>
      </c>
      <c r="J16" s="2">
        <f>SQRT(J7^2+J3^2)</f>
        <v>0</v>
      </c>
      <c r="K16" s="2">
        <f>SQRT(K7^2+K3^2)</f>
        <v>0</v>
      </c>
      <c r="L16" s="2" t="s">
        <v>15</v>
      </c>
    </row>
    <row r="17" spans="2:12">
      <c r="B17" s="2"/>
      <c r="C17" s="2"/>
      <c r="D17" s="2"/>
      <c r="E17" s="6">
        <f>E16*1000</f>
        <v>0</v>
      </c>
      <c r="F17" s="6">
        <f>F16*1000</f>
        <v>0</v>
      </c>
      <c r="G17" s="6">
        <f>G16*1000</f>
        <v>0</v>
      </c>
      <c r="H17" s="2"/>
      <c r="I17" s="6">
        <f>I16*1000</f>
        <v>0</v>
      </c>
      <c r="J17" s="6">
        <f>J16*1000</f>
        <v>0</v>
      </c>
      <c r="K17" s="6">
        <f>K16*1000</f>
        <v>0</v>
      </c>
      <c r="L17" s="6" t="s">
        <v>16</v>
      </c>
    </row>
    <row r="20" spans="2:12">
      <c r="B20" t="s">
        <v>31</v>
      </c>
      <c r="E20" s="3">
        <f>E16-E12</f>
        <v>-3997505.6452000001</v>
      </c>
      <c r="F20" s="3">
        <f>F16-F12</f>
        <v>3276878.3755000001</v>
      </c>
      <c r="G20" s="3">
        <f>G16-G12</f>
        <v>3724240.6893000002</v>
      </c>
      <c r="H20">
        <f t="array" ref="H20">SQRT(SUM(E20:G20*E20:G20))</f>
        <v>6370867.4435325628</v>
      </c>
    </row>
  </sheetData>
  <mergeCells count="2">
    <mergeCell ref="E1:G1"/>
    <mergeCell ref="I1:K1"/>
  </mergeCells>
  <pageMargins left="0.7" right="0.7" top="0.75" bottom="0.75" header="0.3" footer="0.3"/>
  <pageSetup paperSize="9" orientation="portrait" horizontalDpi="4294967294"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77E0-3B0A-4743-AAC4-F797B62B2A75}">
  <dimension ref="B1:L20"/>
  <sheetViews>
    <sheetView workbookViewId="0"/>
  </sheetViews>
  <sheetFormatPr defaultRowHeight="15"/>
  <cols>
    <col min="5" max="5" width="17.5703125" style="3" bestFit="1" customWidth="1"/>
    <col min="6" max="7" width="12.5703125" style="3" bestFit="1" customWidth="1"/>
  </cols>
  <sheetData>
    <row r="1" spans="2:12">
      <c r="E1" s="320" t="s">
        <v>61</v>
      </c>
      <c r="F1" s="320"/>
      <c r="G1" s="320"/>
      <c r="I1" s="321" t="s">
        <v>28</v>
      </c>
      <c r="J1" s="321"/>
      <c r="K1" s="321"/>
    </row>
    <row r="2" spans="2:12">
      <c r="B2" s="2"/>
      <c r="C2" s="2"/>
      <c r="D2" s="2"/>
      <c r="E2" s="14" t="s">
        <v>22</v>
      </c>
      <c r="F2" s="14" t="s">
        <v>23</v>
      </c>
      <c r="G2" s="14" t="s">
        <v>24</v>
      </c>
      <c r="H2" s="2"/>
      <c r="I2" s="2"/>
      <c r="J2" s="2"/>
      <c r="K2" s="2"/>
    </row>
    <row r="3" spans="2:12">
      <c r="B3" s="2" t="s">
        <v>21</v>
      </c>
      <c r="C3" s="2"/>
      <c r="D3" s="2"/>
      <c r="E3" s="14"/>
      <c r="F3" s="14"/>
      <c r="G3" s="14"/>
      <c r="H3" s="2"/>
      <c r="I3" s="14"/>
      <c r="J3" s="14"/>
      <c r="K3" s="14"/>
    </row>
    <row r="4" spans="2:12">
      <c r="B4" s="2"/>
      <c r="C4" s="2"/>
      <c r="D4" s="2"/>
      <c r="E4" s="14"/>
      <c r="F4" s="14"/>
      <c r="G4" s="14"/>
      <c r="H4" s="2"/>
      <c r="I4" s="2"/>
      <c r="J4" s="2"/>
      <c r="K4" s="2"/>
    </row>
    <row r="5" spans="2:12">
      <c r="B5" s="2" t="s">
        <v>25</v>
      </c>
      <c r="C5" s="2"/>
      <c r="D5" s="2"/>
      <c r="E5" s="14">
        <v>-3997505.6472</v>
      </c>
      <c r="F5" s="14">
        <v>3276878.3757000002</v>
      </c>
      <c r="G5" s="14">
        <v>3724240.6880000001</v>
      </c>
      <c r="H5" s="2"/>
      <c r="I5" s="14"/>
      <c r="J5" s="14"/>
      <c r="K5" s="14"/>
    </row>
    <row r="6" spans="2:12">
      <c r="B6" s="2"/>
      <c r="C6" s="2"/>
      <c r="D6" s="2"/>
      <c r="E6" s="14"/>
      <c r="F6" s="14"/>
      <c r="G6" s="14"/>
      <c r="H6" s="2"/>
      <c r="I6" s="2"/>
      <c r="J6" s="2"/>
      <c r="K6" s="2"/>
    </row>
    <row r="7" spans="2:12">
      <c r="B7" s="2" t="s">
        <v>26</v>
      </c>
      <c r="C7" s="2"/>
      <c r="D7" s="2"/>
      <c r="E7" s="14"/>
      <c r="F7" s="14"/>
      <c r="G7" s="14"/>
      <c r="H7" s="2"/>
      <c r="I7" s="14"/>
      <c r="J7" s="14"/>
      <c r="K7" s="14"/>
    </row>
    <row r="8" spans="2:12">
      <c r="B8" s="2"/>
      <c r="C8" s="2"/>
      <c r="D8" s="2"/>
      <c r="E8" s="14"/>
      <c r="F8" s="14"/>
      <c r="G8" s="14"/>
      <c r="H8" s="2"/>
      <c r="I8" s="14"/>
      <c r="J8" s="14"/>
      <c r="K8" s="14"/>
    </row>
    <row r="9" spans="2:12">
      <c r="B9" s="14" t="s">
        <v>32</v>
      </c>
      <c r="C9" s="14"/>
      <c r="D9" s="14"/>
      <c r="E9" s="14">
        <v>-3997483.5082</v>
      </c>
      <c r="F9" s="14">
        <v>3276844.2097999998</v>
      </c>
      <c r="G9" s="14">
        <v>3724307.3103999998</v>
      </c>
      <c r="H9" s="14"/>
      <c r="I9" s="14"/>
      <c r="J9" s="14"/>
      <c r="K9" s="14"/>
    </row>
    <row r="12" spans="2:12">
      <c r="B12" s="2" t="s">
        <v>29</v>
      </c>
      <c r="C12" s="2"/>
      <c r="D12" s="2"/>
      <c r="E12" s="14">
        <f>E3-E5</f>
        <v>3997505.6472</v>
      </c>
      <c r="F12" s="14">
        <f>F3-F5</f>
        <v>-3276878.3757000002</v>
      </c>
      <c r="G12" s="14">
        <f>G3-G5</f>
        <v>-3724240.6880000001</v>
      </c>
      <c r="H12" s="2"/>
      <c r="I12" s="2">
        <f>SQRT(I3^2+I5^2)</f>
        <v>0</v>
      </c>
      <c r="J12" s="2">
        <f>SQRT(J3^2+J5^2)</f>
        <v>0</v>
      </c>
      <c r="K12" s="2">
        <f>SQRT(K3^2+K5^2)</f>
        <v>0</v>
      </c>
      <c r="L12" s="2" t="s">
        <v>15</v>
      </c>
    </row>
    <row r="13" spans="2:12" s="1" customFormat="1">
      <c r="E13" s="15">
        <f>E12*1000</f>
        <v>3997505647.1999998</v>
      </c>
      <c r="F13" s="6">
        <f>F12*1000</f>
        <v>-3276878375.7000003</v>
      </c>
      <c r="G13" s="6">
        <f>G12*1000</f>
        <v>-3724240688</v>
      </c>
      <c r="H13" s="6"/>
      <c r="I13" s="6">
        <f>I12*1000</f>
        <v>0</v>
      </c>
      <c r="J13" s="6">
        <f>J12*1000</f>
        <v>0</v>
      </c>
      <c r="K13" s="6">
        <f>K12*1000</f>
        <v>0</v>
      </c>
      <c r="L13" s="6" t="s">
        <v>16</v>
      </c>
    </row>
    <row r="16" spans="2:12">
      <c r="B16" s="2" t="s">
        <v>30</v>
      </c>
      <c r="C16" s="2"/>
      <c r="D16" s="2"/>
      <c r="E16" s="14">
        <f>E3-E7</f>
        <v>0</v>
      </c>
      <c r="F16" s="14">
        <f>F3-F7</f>
        <v>0</v>
      </c>
      <c r="G16" s="14">
        <f>G3-G7</f>
        <v>0</v>
      </c>
      <c r="H16" s="2"/>
      <c r="I16" s="2">
        <f>SQRT(I7^2+I3^2)</f>
        <v>0</v>
      </c>
      <c r="J16" s="2">
        <f>SQRT(J7^2+J3^2)</f>
        <v>0</v>
      </c>
      <c r="K16" s="2">
        <f>SQRT(K7^2+K3^2)</f>
        <v>0</v>
      </c>
      <c r="L16" s="2" t="s">
        <v>15</v>
      </c>
    </row>
    <row r="17" spans="2:12">
      <c r="B17" s="2"/>
      <c r="C17" s="2"/>
      <c r="D17" s="2"/>
      <c r="E17" s="6">
        <f>E16*1000</f>
        <v>0</v>
      </c>
      <c r="F17" s="6">
        <f>F16*1000</f>
        <v>0</v>
      </c>
      <c r="G17" s="6">
        <f>G16*1000</f>
        <v>0</v>
      </c>
      <c r="H17" s="2"/>
      <c r="I17" s="6">
        <f>I16*1000</f>
        <v>0</v>
      </c>
      <c r="J17" s="6">
        <f>J16*1000</f>
        <v>0</v>
      </c>
      <c r="K17" s="6">
        <f>K16*1000</f>
        <v>0</v>
      </c>
      <c r="L17" s="6" t="s">
        <v>16</v>
      </c>
    </row>
    <row r="20" spans="2:12">
      <c r="B20" t="s">
        <v>31</v>
      </c>
      <c r="E20" s="3">
        <f>E16-E12</f>
        <v>-3997505.6472</v>
      </c>
      <c r="F20" s="3">
        <f>F16-F12</f>
        <v>3276878.3757000002</v>
      </c>
      <c r="G20" s="3">
        <f>G16-G12</f>
        <v>3724240.6880000001</v>
      </c>
      <c r="H20">
        <f t="array" ref="H20">SQRT(SUM(E20:G20*E20:G20))</f>
        <v>6370867.4441304207</v>
      </c>
    </row>
  </sheetData>
  <mergeCells count="2">
    <mergeCell ref="E1:G1"/>
    <mergeCell ref="I1:K1"/>
  </mergeCells>
  <pageMargins left="0.7" right="0.7" top="0.75" bottom="0.75" header="0.3" footer="0.3"/>
  <pageSetup paperSize="9" orientation="portrait" horizontalDpi="4294967294"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41A1F-0549-41DF-B833-A96AA75E7DBA}">
  <dimension ref="A2:AI76"/>
  <sheetViews>
    <sheetView workbookViewId="0"/>
  </sheetViews>
  <sheetFormatPr defaultRowHeight="15"/>
  <cols>
    <col min="1" max="1" width="12.28515625" customWidth="1"/>
    <col min="2" max="2" width="10" customWidth="1"/>
    <col min="3" max="3" width="4.140625" customWidth="1"/>
    <col min="4" max="4" width="2.5703125" customWidth="1"/>
    <col min="8" max="8" width="9.5703125" customWidth="1"/>
    <col min="9" max="10" width="12.7109375" bestFit="1" customWidth="1"/>
    <col min="11" max="11" width="7.7109375" customWidth="1"/>
    <col min="12" max="12" width="4.42578125" customWidth="1"/>
    <col min="15" max="15" width="9.140625" customWidth="1"/>
    <col min="16" max="16" width="9" customWidth="1"/>
    <col min="19" max="19" width="10" customWidth="1"/>
    <col min="21" max="35" width="6.5703125" customWidth="1"/>
  </cols>
  <sheetData>
    <row r="2" spans="1:31" ht="15.75" thickBot="1">
      <c r="A2" s="170" t="s">
        <v>169</v>
      </c>
    </row>
    <row r="3" spans="1:31">
      <c r="A3" t="s">
        <v>171</v>
      </c>
      <c r="B3" s="58" t="s">
        <v>32</v>
      </c>
      <c r="C3" s="32"/>
      <c r="D3" s="32"/>
      <c r="E3" s="327" t="s">
        <v>78</v>
      </c>
      <c r="F3" s="327"/>
      <c r="G3" s="327"/>
      <c r="H3" s="327"/>
      <c r="I3" s="327"/>
      <c r="J3" s="327"/>
      <c r="K3" s="327"/>
      <c r="L3" s="327"/>
      <c r="M3" s="327"/>
      <c r="N3" s="328"/>
    </row>
    <row r="4" spans="1:31" ht="27" customHeight="1">
      <c r="A4" t="s">
        <v>170</v>
      </c>
      <c r="B4" s="33" t="s">
        <v>21</v>
      </c>
      <c r="C4" s="7"/>
      <c r="D4" s="7"/>
      <c r="E4" s="329" t="s">
        <v>80</v>
      </c>
      <c r="F4" s="329"/>
      <c r="G4" s="329"/>
      <c r="H4" s="329"/>
      <c r="I4" s="329"/>
      <c r="J4" s="329"/>
      <c r="K4" s="329"/>
      <c r="L4" s="329"/>
      <c r="M4" s="329"/>
      <c r="N4" s="330"/>
    </row>
    <row r="5" spans="1:31">
      <c r="A5" t="s">
        <v>172</v>
      </c>
      <c r="B5" s="33" t="s">
        <v>25</v>
      </c>
      <c r="C5" s="7"/>
      <c r="D5" s="7"/>
      <c r="E5" s="331" t="s">
        <v>79</v>
      </c>
      <c r="F5" s="331"/>
      <c r="G5" s="331"/>
      <c r="H5" s="331"/>
      <c r="I5" s="331"/>
      <c r="J5" s="331"/>
      <c r="K5" s="331"/>
      <c r="L5" s="331"/>
      <c r="M5" s="331"/>
      <c r="N5" s="332"/>
    </row>
    <row r="6" spans="1:31">
      <c r="A6" t="s">
        <v>173</v>
      </c>
      <c r="B6" s="33" t="s">
        <v>26</v>
      </c>
      <c r="C6" s="7"/>
      <c r="D6" s="7"/>
      <c r="E6" s="331" t="s">
        <v>81</v>
      </c>
      <c r="F6" s="331"/>
      <c r="G6" s="331"/>
      <c r="H6" s="331"/>
      <c r="I6" s="331"/>
      <c r="J6" s="331"/>
      <c r="K6" s="331"/>
      <c r="L6" s="331"/>
      <c r="M6" s="331"/>
      <c r="N6" s="332"/>
    </row>
    <row r="7" spans="1:31" ht="15.75" thickBot="1">
      <c r="B7" s="34" t="s">
        <v>37</v>
      </c>
      <c r="C7" s="35"/>
      <c r="D7" s="35"/>
      <c r="E7" s="333" t="s">
        <v>82</v>
      </c>
      <c r="F7" s="334"/>
      <c r="G7" s="334"/>
      <c r="H7" s="334"/>
      <c r="I7" s="334"/>
      <c r="J7" s="334"/>
      <c r="K7" s="334"/>
      <c r="L7" s="334"/>
      <c r="M7" s="334"/>
      <c r="N7" s="335"/>
    </row>
    <row r="9" spans="1:31" ht="18.75">
      <c r="B9" s="71" t="s">
        <v>77</v>
      </c>
    </row>
    <row r="10" spans="1:31" ht="15.75" thickBot="1">
      <c r="E10" s="320" t="s">
        <v>27</v>
      </c>
      <c r="F10" s="320"/>
      <c r="G10" s="320"/>
      <c r="I10" s="321"/>
      <c r="J10" s="321"/>
      <c r="K10" s="321"/>
      <c r="M10" s="321"/>
      <c r="N10" s="321"/>
      <c r="O10" s="321"/>
      <c r="Q10" s="321"/>
      <c r="R10" s="321"/>
      <c r="S10" s="321"/>
      <c r="V10" t="s">
        <v>89</v>
      </c>
    </row>
    <row r="11" spans="1:31" ht="15.75" thickBot="1">
      <c r="B11" s="70"/>
      <c r="C11" s="67"/>
      <c r="D11" s="67"/>
      <c r="E11" s="338" t="s">
        <v>33</v>
      </c>
      <c r="F11" s="338"/>
      <c r="G11" s="338"/>
      <c r="H11" s="68"/>
      <c r="I11" s="336" t="s">
        <v>34</v>
      </c>
      <c r="J11" s="336"/>
      <c r="K11" s="336"/>
      <c r="L11" s="68"/>
      <c r="M11" s="336" t="s">
        <v>35</v>
      </c>
      <c r="N11" s="336"/>
      <c r="O11" s="336"/>
      <c r="P11" s="68"/>
      <c r="Q11" s="336" t="s">
        <v>36</v>
      </c>
      <c r="R11" s="336"/>
      <c r="S11" s="337"/>
      <c r="U11" s="316" t="s">
        <v>33</v>
      </c>
      <c r="V11" s="316"/>
      <c r="W11" s="316"/>
      <c r="X11" s="2"/>
      <c r="Y11" s="315" t="s">
        <v>34</v>
      </c>
      <c r="Z11" s="315"/>
      <c r="AA11" s="315"/>
      <c r="AB11" s="2"/>
      <c r="AC11" s="315" t="s">
        <v>35</v>
      </c>
      <c r="AD11" s="315"/>
      <c r="AE11" s="315"/>
    </row>
    <row r="12" spans="1:31" ht="15.75" thickTop="1">
      <c r="B12" s="69"/>
      <c r="C12" s="56"/>
      <c r="D12" s="66"/>
      <c r="E12" s="52" t="s">
        <v>4</v>
      </c>
      <c r="F12" s="50" t="s">
        <v>5</v>
      </c>
      <c r="G12" s="51" t="s">
        <v>6</v>
      </c>
      <c r="H12" s="53"/>
      <c r="I12" s="52" t="s">
        <v>4</v>
      </c>
      <c r="J12" s="50" t="s">
        <v>5</v>
      </c>
      <c r="K12" s="51" t="s">
        <v>6</v>
      </c>
      <c r="L12" s="53"/>
      <c r="M12" s="52" t="s">
        <v>4</v>
      </c>
      <c r="N12" s="50" t="s">
        <v>5</v>
      </c>
      <c r="O12" s="51" t="s">
        <v>6</v>
      </c>
      <c r="P12" s="53"/>
      <c r="Q12" s="52" t="s">
        <v>4</v>
      </c>
      <c r="R12" s="50" t="s">
        <v>5</v>
      </c>
      <c r="S12" s="51" t="s">
        <v>6</v>
      </c>
      <c r="U12" s="14" t="s">
        <v>4</v>
      </c>
      <c r="V12" s="14" t="s">
        <v>5</v>
      </c>
      <c r="W12" s="14" t="s">
        <v>6</v>
      </c>
      <c r="X12" s="2"/>
      <c r="Y12" s="14" t="s">
        <v>4</v>
      </c>
      <c r="Z12" s="14" t="s">
        <v>5</v>
      </c>
      <c r="AA12" s="14" t="s">
        <v>6</v>
      </c>
      <c r="AB12" s="2"/>
      <c r="AC12" s="14" t="s">
        <v>4</v>
      </c>
      <c r="AD12" s="14" t="s">
        <v>5</v>
      </c>
      <c r="AE12" s="14" t="s">
        <v>6</v>
      </c>
    </row>
    <row r="13" spans="1:31">
      <c r="B13" s="27" t="s">
        <v>32</v>
      </c>
      <c r="C13" s="14"/>
      <c r="D13" s="39"/>
      <c r="E13" s="27">
        <v>-12.6586</v>
      </c>
      <c r="F13" s="14">
        <v>-12.742100000000001</v>
      </c>
      <c r="G13" s="28">
        <v>4.4387999999999996</v>
      </c>
      <c r="H13" s="47"/>
      <c r="I13" s="27">
        <v>-12.6585</v>
      </c>
      <c r="J13" s="14">
        <v>-12.74</v>
      </c>
      <c r="K13" s="28">
        <v>4.4427000000000003</v>
      </c>
      <c r="L13" s="47"/>
      <c r="M13" s="27">
        <v>-12.658899999999999</v>
      </c>
      <c r="N13" s="14">
        <v>-12.74</v>
      </c>
      <c r="O13" s="28">
        <v>4.4432999999999998</v>
      </c>
      <c r="P13" s="47"/>
      <c r="Q13" s="27">
        <v>-12.658300000000001</v>
      </c>
      <c r="R13" s="14">
        <v>-12.740600000000001</v>
      </c>
      <c r="S13" s="28">
        <v>4.4447999999999999</v>
      </c>
      <c r="U13" s="6">
        <f>(E13-$Q13)*1000</f>
        <v>-0.29999999999930083</v>
      </c>
      <c r="V13" s="6">
        <f>(F13-$R13)*1000</f>
        <v>-1.5000000000000568</v>
      </c>
      <c r="W13" s="6">
        <f>(G13-$S13)*1000</f>
        <v>-6.0000000000002274</v>
      </c>
      <c r="X13" s="6"/>
      <c r="Y13" s="6">
        <f>(I13-$Q13)*1000</f>
        <v>-0.19999999999953388</v>
      </c>
      <c r="Z13" s="6">
        <f>(J13-$R13)*1000</f>
        <v>0.60000000000037801</v>
      </c>
      <c r="AA13" s="6">
        <f>(K13-$S13)*1000</f>
        <v>-2.0999999999995467</v>
      </c>
      <c r="AB13" s="6"/>
      <c r="AC13" s="6">
        <f>(M13-$Q13)*1000</f>
        <v>-0.59999999999860165</v>
      </c>
      <c r="AD13" s="6">
        <f>(N13-$R13)*1000</f>
        <v>0.60000000000037801</v>
      </c>
      <c r="AE13" s="6">
        <f>(O13-$S13)*1000</f>
        <v>-1.5000000000000568</v>
      </c>
    </row>
    <row r="14" spans="1:31">
      <c r="B14" s="20" t="s">
        <v>21</v>
      </c>
      <c r="C14" s="2"/>
      <c r="D14" s="40"/>
      <c r="E14" s="27"/>
      <c r="F14" s="14"/>
      <c r="G14" s="28"/>
      <c r="H14" s="48"/>
      <c r="I14" s="27"/>
      <c r="J14" s="14"/>
      <c r="K14" s="28"/>
      <c r="L14" s="48"/>
      <c r="M14" s="27">
        <v>-113.41249999999999</v>
      </c>
      <c r="N14" s="14">
        <v>-6.8457999999999997</v>
      </c>
      <c r="O14" s="28">
        <v>-7.7770999999999999</v>
      </c>
      <c r="P14" s="48"/>
      <c r="Q14" s="27">
        <v>-113.4106</v>
      </c>
      <c r="R14" s="14">
        <v>-6.8475000000000001</v>
      </c>
      <c r="S14" s="28">
        <v>-7.7797999999999998</v>
      </c>
    </row>
    <row r="15" spans="1:31">
      <c r="B15" s="20" t="s">
        <v>25</v>
      </c>
      <c r="C15" s="2"/>
      <c r="D15" s="40"/>
      <c r="E15" s="27">
        <v>-89.357600000000005</v>
      </c>
      <c r="F15" s="14">
        <v>-25.131</v>
      </c>
      <c r="G15" s="28">
        <v>-3.2924000000000002</v>
      </c>
      <c r="H15" s="48"/>
      <c r="I15" s="27">
        <v>-89.355599999999995</v>
      </c>
      <c r="J15" s="14">
        <v>-25.132100000000001</v>
      </c>
      <c r="K15" s="28">
        <v>-3.2930999999999999</v>
      </c>
      <c r="L15" s="48"/>
      <c r="M15" s="27">
        <v>-89.354900000000001</v>
      </c>
      <c r="N15" s="14">
        <v>-25.133400000000002</v>
      </c>
      <c r="O15" s="28">
        <v>-3.2906</v>
      </c>
      <c r="P15" s="48"/>
      <c r="Q15" s="27">
        <v>-89.353200000000001</v>
      </c>
      <c r="R15" s="14">
        <v>-25.134</v>
      </c>
      <c r="S15" s="28">
        <v>-3.2915000000000001</v>
      </c>
    </row>
    <row r="16" spans="1:31">
      <c r="B16" s="20" t="s">
        <v>26</v>
      </c>
      <c r="C16" s="2"/>
      <c r="D16" s="40"/>
      <c r="E16" s="27"/>
      <c r="F16" s="14"/>
      <c r="G16" s="28"/>
      <c r="H16" s="48"/>
      <c r="I16" s="27"/>
      <c r="J16" s="14"/>
      <c r="K16" s="28"/>
      <c r="L16" s="48"/>
      <c r="M16" s="27">
        <v>-53.850700000000003</v>
      </c>
      <c r="N16" s="14">
        <v>210.99340000000001</v>
      </c>
      <c r="O16" s="28">
        <v>12.6928</v>
      </c>
      <c r="P16" s="48"/>
      <c r="Q16" s="27">
        <v>-53.851799999999997</v>
      </c>
      <c r="R16" s="14">
        <v>210.994</v>
      </c>
      <c r="S16" s="28">
        <v>12.6935</v>
      </c>
    </row>
    <row r="17" spans="2:35" ht="15.75" thickBot="1">
      <c r="B17" s="22" t="s">
        <v>37</v>
      </c>
      <c r="C17" s="23"/>
      <c r="D17" s="41"/>
      <c r="E17" s="45"/>
      <c r="F17" s="29"/>
      <c r="G17" s="30"/>
      <c r="H17" s="49"/>
      <c r="I17" s="45"/>
      <c r="J17" s="29"/>
      <c r="K17" s="30"/>
      <c r="L17" s="49"/>
      <c r="M17" s="45">
        <v>-104.33199999999999</v>
      </c>
      <c r="N17" s="29">
        <v>133.97790000000001</v>
      </c>
      <c r="O17" s="30">
        <v>0.1938</v>
      </c>
      <c r="P17" s="49"/>
      <c r="Q17" s="45">
        <v>-104.3361</v>
      </c>
      <c r="R17" s="29">
        <v>133.97370000000001</v>
      </c>
      <c r="S17" s="30">
        <v>0.1946</v>
      </c>
    </row>
    <row r="18" spans="2:35">
      <c r="B18" s="7"/>
      <c r="C18" s="7"/>
      <c r="D18" s="7"/>
      <c r="E18" s="16"/>
      <c r="F18" s="16"/>
      <c r="G18" s="16"/>
      <c r="H18" s="7"/>
      <c r="I18" s="16"/>
      <c r="J18" s="16"/>
      <c r="K18" s="16"/>
      <c r="L18" s="7"/>
      <c r="M18" s="16"/>
      <c r="N18" s="16"/>
      <c r="O18" s="16"/>
      <c r="P18" s="7"/>
      <c r="Q18" s="16"/>
      <c r="R18" s="16"/>
      <c r="S18" s="16"/>
    </row>
    <row r="19" spans="2:35" ht="18.75">
      <c r="B19" s="72" t="s">
        <v>84</v>
      </c>
      <c r="C19" s="7"/>
      <c r="D19" s="7"/>
      <c r="E19" s="316" t="s">
        <v>36</v>
      </c>
      <c r="F19" s="316"/>
      <c r="G19" s="316"/>
      <c r="H19" s="7"/>
      <c r="I19" s="316" t="s">
        <v>36</v>
      </c>
      <c r="J19" s="316"/>
      <c r="K19" s="316"/>
      <c r="L19" s="7"/>
      <c r="M19" s="16"/>
      <c r="N19" s="16"/>
      <c r="O19" s="16"/>
      <c r="P19" s="7"/>
      <c r="Q19" s="16"/>
      <c r="R19" s="16"/>
      <c r="S19" s="16"/>
    </row>
    <row r="20" spans="2:35">
      <c r="C20" s="7"/>
      <c r="D20" s="7"/>
      <c r="E20" s="14" t="s">
        <v>22</v>
      </c>
      <c r="F20" s="14" t="s">
        <v>23</v>
      </c>
      <c r="G20" s="14" t="s">
        <v>24</v>
      </c>
      <c r="H20" s="7"/>
      <c r="I20" s="14" t="s">
        <v>5</v>
      </c>
      <c r="J20" s="14" t="s">
        <v>4</v>
      </c>
      <c r="K20" s="14" t="s">
        <v>6</v>
      </c>
      <c r="L20" s="7"/>
      <c r="M20" s="16"/>
      <c r="N20" s="16"/>
      <c r="O20" s="16"/>
      <c r="P20" s="7"/>
      <c r="Q20" s="16"/>
      <c r="R20" s="16"/>
      <c r="S20" s="16"/>
    </row>
    <row r="21" spans="2:35">
      <c r="B21" s="14" t="s">
        <v>32</v>
      </c>
      <c r="C21" s="7"/>
      <c r="D21" s="7"/>
      <c r="E21" s="6">
        <v>0.1</v>
      </c>
      <c r="F21" s="6">
        <v>0.1</v>
      </c>
      <c r="G21" s="6">
        <v>0.1</v>
      </c>
      <c r="H21" s="7"/>
      <c r="I21" s="6">
        <f t="array" ref="I21:K21">TRANSPOSE(M62:M64)</f>
        <v>0.1000245668211221</v>
      </c>
      <c r="J21" s="6">
        <v>9.9998900252271622E-2</v>
      </c>
      <c r="K21" s="6">
        <v>9.9736914367236904E-2</v>
      </c>
      <c r="L21" s="7"/>
      <c r="M21" s="16"/>
      <c r="N21" s="16"/>
      <c r="O21" s="16"/>
      <c r="P21" s="7"/>
      <c r="Q21" s="16"/>
      <c r="R21" s="16"/>
      <c r="S21" s="16"/>
    </row>
    <row r="22" spans="2:35">
      <c r="B22" s="2" t="s">
        <v>21</v>
      </c>
      <c r="E22" s="6">
        <v>0.9</v>
      </c>
      <c r="F22" s="6">
        <v>1.5</v>
      </c>
      <c r="G22" s="6">
        <v>0.4</v>
      </c>
      <c r="H22" t="s">
        <v>59</v>
      </c>
      <c r="I22" s="6">
        <f t="array" ref="I22:K22">TRANSPOSE(M58:M60)</f>
        <v>1.2942729221347635</v>
      </c>
      <c r="J22" s="6">
        <v>0.76239018327103891</v>
      </c>
      <c r="K22" s="6">
        <v>0.97966213926927492</v>
      </c>
    </row>
    <row r="23" spans="2:35">
      <c r="B23" s="2" t="s">
        <v>25</v>
      </c>
      <c r="C23" s="7"/>
      <c r="D23" s="7"/>
      <c r="E23" s="6">
        <v>0.6</v>
      </c>
      <c r="F23" s="6">
        <v>1</v>
      </c>
      <c r="G23" s="6">
        <v>0.3</v>
      </c>
      <c r="H23" s="7"/>
      <c r="I23" s="6">
        <f t="array" ref="I23:K23">TRANSPOSE(M66:M68)</f>
        <v>0.86284864095722369</v>
      </c>
      <c r="J23" s="6">
        <v>0.52032583304704227</v>
      </c>
      <c r="K23" s="6">
        <v>0.658049049587626</v>
      </c>
      <c r="L23" s="7"/>
      <c r="M23" s="16"/>
      <c r="N23" s="16"/>
      <c r="O23" s="16"/>
      <c r="P23" s="7"/>
      <c r="Q23" s="16"/>
      <c r="R23" s="16"/>
      <c r="S23" s="16"/>
    </row>
    <row r="24" spans="2:35">
      <c r="B24" s="2" t="s">
        <v>26</v>
      </c>
      <c r="C24" s="7"/>
      <c r="D24" s="7"/>
      <c r="E24" s="6">
        <v>0.2</v>
      </c>
      <c r="F24" s="6">
        <v>0.3</v>
      </c>
      <c r="G24" s="6">
        <v>0.3</v>
      </c>
      <c r="H24" s="7"/>
      <c r="I24" s="6">
        <f t="array" ref="I24:K24">TRANSPOSE(M70:M72)</f>
        <v>0.26466143581627766</v>
      </c>
      <c r="J24" s="6">
        <v>0.28237767459965818</v>
      </c>
      <c r="K24" s="6">
        <v>0.26462456600419304</v>
      </c>
      <c r="L24" s="7"/>
      <c r="M24" s="16"/>
      <c r="N24" s="16"/>
      <c r="O24" s="16"/>
      <c r="P24" s="7"/>
      <c r="Q24" s="16"/>
      <c r="R24" s="16"/>
      <c r="S24" s="16"/>
    </row>
    <row r="25" spans="2:35">
      <c r="B25" s="2" t="s">
        <v>37</v>
      </c>
      <c r="C25" s="7"/>
      <c r="D25" s="7"/>
      <c r="E25" s="6">
        <v>0.2</v>
      </c>
      <c r="F25" s="6">
        <v>0.5</v>
      </c>
      <c r="G25" s="6">
        <v>0.2</v>
      </c>
      <c r="H25" s="7"/>
      <c r="I25" s="6">
        <f t="array" ref="I25:K25">TRANSPOSE(M74:M76)</f>
        <v>0.40758856226456264</v>
      </c>
      <c r="J25" s="6">
        <v>0.26252990091778727</v>
      </c>
      <c r="K25" s="6">
        <v>0.30782828004398971</v>
      </c>
      <c r="L25" s="7"/>
      <c r="M25" s="16"/>
      <c r="N25" s="16"/>
      <c r="O25" s="16"/>
      <c r="P25" s="7"/>
      <c r="Q25" s="16"/>
      <c r="R25" s="16"/>
      <c r="S25" s="16"/>
    </row>
    <row r="26" spans="2:35">
      <c r="B26" s="7"/>
      <c r="C26" s="7"/>
      <c r="D26" s="7"/>
      <c r="E26" t="s">
        <v>83</v>
      </c>
      <c r="F26" s="8"/>
      <c r="G26" s="8"/>
      <c r="H26" s="7"/>
      <c r="I26" s="8"/>
      <c r="J26" s="8"/>
      <c r="K26" s="8"/>
      <c r="L26" s="7"/>
      <c r="M26" s="16"/>
      <c r="N26" s="16"/>
      <c r="O26" s="16"/>
      <c r="P26" s="7"/>
      <c r="Q26" s="16"/>
      <c r="R26" s="16"/>
      <c r="S26" s="16"/>
      <c r="AG26" t="s">
        <v>87</v>
      </c>
    </row>
    <row r="27" spans="2:35">
      <c r="B27" s="7"/>
      <c r="C27" s="7"/>
      <c r="D27" s="7"/>
      <c r="E27" s="8"/>
      <c r="F27" s="8"/>
      <c r="G27" s="8"/>
      <c r="H27" s="7"/>
      <c r="I27" s="8"/>
      <c r="J27" s="8"/>
      <c r="K27" s="8"/>
      <c r="L27" s="7"/>
      <c r="M27" s="16"/>
      <c r="N27" s="16"/>
      <c r="O27" s="16"/>
      <c r="P27" s="7"/>
      <c r="Q27" s="16"/>
      <c r="R27" s="16"/>
      <c r="S27" s="16"/>
      <c r="U27" t="s">
        <v>89</v>
      </c>
    </row>
    <row r="28" spans="2:35">
      <c r="B28" s="7"/>
      <c r="C28" s="7"/>
      <c r="D28" s="7"/>
      <c r="E28" s="316" t="s">
        <v>33</v>
      </c>
      <c r="F28" s="316"/>
      <c r="G28" s="316"/>
      <c r="H28" s="2"/>
      <c r="I28" s="315" t="s">
        <v>34</v>
      </c>
      <c r="J28" s="315"/>
      <c r="K28" s="315"/>
      <c r="L28" s="56"/>
      <c r="M28" s="315" t="s">
        <v>35</v>
      </c>
      <c r="N28" s="315"/>
      <c r="O28" s="315"/>
      <c r="P28" s="2"/>
      <c r="Q28" s="315" t="s">
        <v>36</v>
      </c>
      <c r="R28" s="315"/>
      <c r="S28" s="315"/>
      <c r="U28" s="316" t="s">
        <v>33</v>
      </c>
      <c r="V28" s="316"/>
      <c r="W28" s="316"/>
      <c r="X28" s="2"/>
      <c r="Y28" s="315" t="s">
        <v>34</v>
      </c>
      <c r="Z28" s="315"/>
      <c r="AA28" s="315"/>
      <c r="AB28" s="2"/>
      <c r="AC28" s="315" t="s">
        <v>35</v>
      </c>
      <c r="AD28" s="315"/>
      <c r="AE28" s="315"/>
      <c r="AG28" s="14" t="s">
        <v>5</v>
      </c>
      <c r="AH28" s="14" t="s">
        <v>4</v>
      </c>
      <c r="AI28" s="14" t="s">
        <v>6</v>
      </c>
    </row>
    <row r="29" spans="2:35">
      <c r="B29" s="2" t="s">
        <v>65</v>
      </c>
      <c r="C29" s="2"/>
      <c r="D29" s="2"/>
      <c r="E29" s="14">
        <f>E15-E13</f>
        <v>-76.699000000000012</v>
      </c>
      <c r="F29" s="14">
        <f>F15-F13</f>
        <v>-12.3889</v>
      </c>
      <c r="G29" s="14">
        <f>G15-G13</f>
        <v>-7.7311999999999994</v>
      </c>
      <c r="H29" s="2"/>
      <c r="I29" s="14">
        <f>I15-I13</f>
        <v>-76.697099999999992</v>
      </c>
      <c r="J29" s="14">
        <f>J15-J13</f>
        <v>-12.392100000000001</v>
      </c>
      <c r="K29" s="14">
        <f>K15-K13</f>
        <v>-7.7358000000000002</v>
      </c>
      <c r="L29" s="2"/>
      <c r="M29" s="14">
        <f>M15-M13</f>
        <v>-76.695999999999998</v>
      </c>
      <c r="N29" s="14">
        <f>N15-N13</f>
        <v>-12.393400000000002</v>
      </c>
      <c r="O29" s="14">
        <f>O15-O13</f>
        <v>-7.7339000000000002</v>
      </c>
      <c r="P29" s="2"/>
      <c r="Q29" s="14">
        <f>Q15-Q13</f>
        <v>-76.694900000000004</v>
      </c>
      <c r="R29" s="14">
        <f>R15-R13</f>
        <v>-12.3934</v>
      </c>
      <c r="S29" s="14">
        <f>S15-S13</f>
        <v>-7.7363</v>
      </c>
      <c r="U29" s="6">
        <f>(E29-$Q29)*1000</f>
        <v>-4.1000000000082082</v>
      </c>
      <c r="V29" s="6">
        <f>(F29-$R29)*1000</f>
        <v>4.5000000000001705</v>
      </c>
      <c r="W29" s="6">
        <f>(G29-$S29)*1000</f>
        <v>5.1000000000005485</v>
      </c>
      <c r="X29" s="6"/>
      <c r="Y29" s="6">
        <f>(I29-$Q29)*1000</f>
        <v>-2.1999999999877673</v>
      </c>
      <c r="Z29" s="6">
        <f>(J29-$R29)*1000</f>
        <v>1.2999999999987466</v>
      </c>
      <c r="AA29" s="6">
        <f>(K29-$S29)*1000</f>
        <v>0.49999999999972289</v>
      </c>
      <c r="AB29" s="6"/>
      <c r="AC29" s="6">
        <f t="shared" ref="AC29:AC32" si="0">(M29-$Q29)*1000</f>
        <v>-1.0999999999938836</v>
      </c>
      <c r="AD29" s="6">
        <f t="shared" ref="AD29:AD32" si="1">(N29-$R29)*1000</f>
        <v>-1.7763568394002505E-12</v>
      </c>
      <c r="AE29" s="6">
        <f t="shared" ref="AE29:AE32" si="2">(O29-$S29)*1000</f>
        <v>2.3999999999997357</v>
      </c>
      <c r="AG29" s="6">
        <f>SQRT(I62+I66)</f>
        <v>0.86862689986523045</v>
      </c>
      <c r="AH29" s="6">
        <f>SQRT(J63+J67)</f>
        <v>0.5298478579627951</v>
      </c>
      <c r="AI29" s="6">
        <f>SQRT(K64+K68)</f>
        <v>0.66556442494372803</v>
      </c>
    </row>
    <row r="30" spans="2:35">
      <c r="B30" s="2" t="s">
        <v>29</v>
      </c>
      <c r="C30" s="2"/>
      <c r="D30" s="2"/>
      <c r="E30" s="14"/>
      <c r="F30" s="14"/>
      <c r="G30" s="14"/>
      <c r="H30" s="2"/>
      <c r="I30" s="14"/>
      <c r="J30" s="14"/>
      <c r="K30" s="14"/>
      <c r="L30" s="2"/>
      <c r="M30" s="14">
        <f>M14-M15</f>
        <v>-24.057599999999994</v>
      </c>
      <c r="N30" s="14">
        <f>N14-N15</f>
        <v>18.287600000000001</v>
      </c>
      <c r="O30" s="14">
        <f>O14-O15</f>
        <v>-4.4864999999999995</v>
      </c>
      <c r="P30" s="2"/>
      <c r="Q30" s="14">
        <f>Q14-Q15</f>
        <v>-24.057400000000001</v>
      </c>
      <c r="R30" s="14">
        <f>R14-R15</f>
        <v>18.2865</v>
      </c>
      <c r="S30" s="14">
        <f>S14-S15</f>
        <v>-4.4882999999999997</v>
      </c>
      <c r="U30" s="6"/>
      <c r="V30" s="6"/>
      <c r="W30" s="6"/>
      <c r="X30" s="6"/>
      <c r="Y30" s="6"/>
      <c r="Z30" s="6"/>
      <c r="AA30" s="6"/>
      <c r="AB30" s="6"/>
      <c r="AC30" s="6">
        <f t="shared" si="0"/>
        <v>-0.19999999999242846</v>
      </c>
      <c r="AD30" s="6">
        <f t="shared" si="1"/>
        <v>1.1000000000009891</v>
      </c>
      <c r="AE30" s="6">
        <f t="shared" si="2"/>
        <v>1.8000000000002458</v>
      </c>
      <c r="AG30" s="6">
        <f>SQRT(I58+I66)</f>
        <v>1.5555224762673756</v>
      </c>
      <c r="AH30" s="6">
        <f>SQRT(J59+J67)</f>
        <v>0.92302641570225219</v>
      </c>
      <c r="AI30" s="6">
        <f>SQRT(K60+K68)</f>
        <v>1.1801552689289787</v>
      </c>
    </row>
    <row r="31" spans="2:35">
      <c r="B31" s="2" t="s">
        <v>30</v>
      </c>
      <c r="C31" s="2"/>
      <c r="D31" s="2"/>
      <c r="E31" s="14"/>
      <c r="F31" s="14"/>
      <c r="G31" s="14"/>
      <c r="H31" s="2"/>
      <c r="I31" s="14"/>
      <c r="J31" s="14"/>
      <c r="K31" s="14"/>
      <c r="L31" s="2"/>
      <c r="M31" s="14">
        <f>M14-M16</f>
        <v>-59.561799999999991</v>
      </c>
      <c r="N31" s="14">
        <f>N14-N16</f>
        <v>-217.83920000000001</v>
      </c>
      <c r="O31" s="14">
        <f>O14-O16</f>
        <v>-20.469899999999999</v>
      </c>
      <c r="P31" s="2"/>
      <c r="Q31" s="14">
        <f>Q14-Q16</f>
        <v>-59.558800000000005</v>
      </c>
      <c r="R31" s="14">
        <f>R14-R16</f>
        <v>-217.8415</v>
      </c>
      <c r="S31" s="14">
        <f>S14-S16</f>
        <v>-20.473300000000002</v>
      </c>
      <c r="U31" s="6"/>
      <c r="V31" s="6"/>
      <c r="W31" s="6"/>
      <c r="X31" s="6"/>
      <c r="Y31" s="6"/>
      <c r="Z31" s="6"/>
      <c r="AA31" s="6"/>
      <c r="AB31" s="6"/>
      <c r="AC31" s="6">
        <f t="shared" si="0"/>
        <v>-2.9999999999859028</v>
      </c>
      <c r="AD31" s="6">
        <f t="shared" si="1"/>
        <v>2.299999999991087</v>
      </c>
      <c r="AE31" s="6">
        <f t="shared" si="2"/>
        <v>3.4000000000027342</v>
      </c>
      <c r="AG31" s="6">
        <f>SQRT(I58+I70)</f>
        <v>1.3210556659655162</v>
      </c>
      <c r="AH31" s="6">
        <f>SQRT(J59+J71)</f>
        <v>0.81300426976760631</v>
      </c>
      <c r="AI31" s="6">
        <f>SQRT(K60+K72)</f>
        <v>1.0147729145235203</v>
      </c>
    </row>
    <row r="32" spans="2:35">
      <c r="B32" s="2" t="s">
        <v>31</v>
      </c>
      <c r="C32" s="2"/>
      <c r="D32" s="2"/>
      <c r="E32" s="14"/>
      <c r="F32" s="14"/>
      <c r="G32" s="14"/>
      <c r="H32" s="2"/>
      <c r="I32" s="14"/>
      <c r="J32" s="14"/>
      <c r="K32" s="14"/>
      <c r="L32" s="2"/>
      <c r="M32" s="14">
        <f>M16-M15</f>
        <v>35.504199999999997</v>
      </c>
      <c r="N32" s="14">
        <f>N16-N15</f>
        <v>236.1268</v>
      </c>
      <c r="O32" s="14">
        <f>O16-O15</f>
        <v>15.9834</v>
      </c>
      <c r="P32" s="2"/>
      <c r="Q32" s="14">
        <f>Q16-Q15</f>
        <v>35.501400000000004</v>
      </c>
      <c r="R32" s="14">
        <f>R16-R15</f>
        <v>236.12799999999999</v>
      </c>
      <c r="S32" s="14">
        <f>S16-S15</f>
        <v>15.984999999999999</v>
      </c>
      <c r="U32" s="6"/>
      <c r="V32" s="6"/>
      <c r="W32" s="6"/>
      <c r="X32" s="6"/>
      <c r="Y32" s="6"/>
      <c r="Z32" s="6"/>
      <c r="AA32" s="6"/>
      <c r="AB32" s="6"/>
      <c r="AC32" s="6">
        <f t="shared" si="0"/>
        <v>2.7999999999934744</v>
      </c>
      <c r="AD32" s="6">
        <f t="shared" si="1"/>
        <v>-1.1999999999829924</v>
      </c>
      <c r="AE32" s="6">
        <f t="shared" si="2"/>
        <v>-1.5999999999998238</v>
      </c>
      <c r="AG32" s="6">
        <f>SQRT(I66+I70)</f>
        <v>0.90252615076243725</v>
      </c>
      <c r="AH32" s="6">
        <f>SQRT(J67+J71)</f>
        <v>0.59201023947935982</v>
      </c>
      <c r="AI32" s="6">
        <f>SQRT(K68+K72)</f>
        <v>0.70926350011549677</v>
      </c>
    </row>
    <row r="33" spans="1:21" ht="15.75" thickBot="1">
      <c r="A33" s="36"/>
      <c r="B33" s="36"/>
      <c r="C33" s="36"/>
      <c r="D33" s="36"/>
      <c r="E33" s="36"/>
      <c r="F33" s="36"/>
      <c r="G33" s="36"/>
      <c r="H33" s="36"/>
      <c r="I33" s="36"/>
      <c r="J33" s="36"/>
      <c r="K33" s="36"/>
      <c r="L33" s="36"/>
      <c r="M33" s="36"/>
      <c r="N33" s="36"/>
      <c r="O33" s="36"/>
      <c r="P33" s="36"/>
      <c r="Q33" s="36"/>
      <c r="R33" s="36"/>
      <c r="S33" s="36"/>
      <c r="T33" s="36"/>
      <c r="U33" s="36"/>
    </row>
    <row r="34" spans="1:21" ht="15.75" thickTop="1">
      <c r="B34" t="s">
        <v>85</v>
      </c>
    </row>
    <row r="35" spans="1:21">
      <c r="B35" s="2"/>
      <c r="C35" s="2"/>
      <c r="D35" s="2"/>
      <c r="E35" s="14" t="s">
        <v>22</v>
      </c>
      <c r="F35" s="14" t="s">
        <v>23</v>
      </c>
      <c r="G35" s="14" t="s">
        <v>24</v>
      </c>
      <c r="H35" s="2"/>
      <c r="I35" s="14" t="s">
        <v>5</v>
      </c>
      <c r="J35" s="14" t="s">
        <v>4</v>
      </c>
      <c r="K35" s="14" t="s">
        <v>6</v>
      </c>
      <c r="M35" t="s">
        <v>47</v>
      </c>
    </row>
    <row r="36" spans="1:21">
      <c r="B36" s="14" t="s">
        <v>32</v>
      </c>
      <c r="C36" s="14"/>
      <c r="D36" s="14"/>
      <c r="E36" s="14">
        <v>-0.45369999999999999</v>
      </c>
      <c r="F36" s="14">
        <v>16.8461</v>
      </c>
      <c r="G36" s="14">
        <v>-7.6365999999999996</v>
      </c>
      <c r="H36" s="14"/>
      <c r="I36" s="14">
        <v>-12.740600000000001</v>
      </c>
      <c r="J36" s="14">
        <v>-12.658300000000001</v>
      </c>
      <c r="K36" s="14">
        <v>4.4447999999999999</v>
      </c>
      <c r="M36" s="2">
        <f t="array" ref="M36:O40">MMULT(E36:G40,I52:K54)</f>
        <v>-12.755814807515458</v>
      </c>
      <c r="N36" s="2">
        <v>-12.647444662735751</v>
      </c>
      <c r="O36" s="2">
        <v>4.4298472216124223</v>
      </c>
      <c r="Q36" s="3">
        <f>I36-M36</f>
        <v>1.5214807515457451E-2</v>
      </c>
      <c r="R36" s="3">
        <f t="shared" ref="R36:R40" si="3">J36-N36</f>
        <v>-1.0855337264249698E-2</v>
      </c>
      <c r="S36" s="3">
        <f t="shared" ref="S36:S40" si="4">K36-O36</f>
        <v>1.4952778387577581E-2</v>
      </c>
    </row>
    <row r="37" spans="1:21">
      <c r="B37" s="2" t="s">
        <v>21</v>
      </c>
      <c r="C37" s="2"/>
      <c r="D37" s="2"/>
      <c r="E37" s="14">
        <v>-42.288600000000002</v>
      </c>
      <c r="F37" s="14">
        <v>43.518999999999998</v>
      </c>
      <c r="G37" s="14">
        <v>-96.369900000000001</v>
      </c>
      <c r="H37" s="2"/>
      <c r="I37" s="14">
        <v>-6.8475000000000001</v>
      </c>
      <c r="J37" s="14">
        <v>-113.4106</v>
      </c>
      <c r="K37" s="14">
        <v>-7.7797999999999998</v>
      </c>
      <c r="M37" s="2">
        <v>-6.8304313434756923</v>
      </c>
      <c r="N37" s="2">
        <v>-113.42285680117295</v>
      </c>
      <c r="O37" s="2">
        <v>-7.7629283510304532</v>
      </c>
      <c r="Q37" s="3">
        <f t="shared" ref="Q37:Q40" si="5">I37-M37</f>
        <v>-1.706865652430789E-2</v>
      </c>
      <c r="R37" s="3">
        <f t="shared" si="3"/>
        <v>1.2256801172952692E-2</v>
      </c>
      <c r="S37" s="3">
        <f t="shared" si="4"/>
        <v>-1.6871648969546627E-2</v>
      </c>
    </row>
    <row r="38" spans="1:21">
      <c r="B38" s="2" t="s">
        <v>25</v>
      </c>
      <c r="C38" s="2"/>
      <c r="D38" s="2"/>
      <c r="E38" s="14">
        <v>-22.581099999999999</v>
      </c>
      <c r="F38" s="14">
        <v>51.009399999999999</v>
      </c>
      <c r="G38" s="14">
        <v>-74.260900000000007</v>
      </c>
      <c r="H38" s="2"/>
      <c r="I38" s="14">
        <v>-25.134</v>
      </c>
      <c r="J38" s="14">
        <v>-89.353200000000001</v>
      </c>
      <c r="K38" s="14">
        <v>-3.2915000000000001</v>
      </c>
      <c r="M38" s="2">
        <v>-25.132846037907747</v>
      </c>
      <c r="N38" s="2">
        <v>-89.353974166921248</v>
      </c>
      <c r="O38" s="2">
        <v>-3.2904263883900313</v>
      </c>
      <c r="Q38" s="3">
        <f t="shared" si="5"/>
        <v>-1.15396209225338E-3</v>
      </c>
      <c r="R38" s="3">
        <f t="shared" si="3"/>
        <v>7.7416692124643305E-4</v>
      </c>
      <c r="S38" s="3">
        <f t="shared" si="4"/>
        <v>-1.073611609968772E-3</v>
      </c>
    </row>
    <row r="39" spans="1:21">
      <c r="B39" s="2" t="s">
        <v>26</v>
      </c>
      <c r="C39" s="2"/>
      <c r="D39" s="2"/>
      <c r="E39" s="14">
        <v>-166.16040000000001</v>
      </c>
      <c r="F39" s="14">
        <v>-136.61760000000001</v>
      </c>
      <c r="G39" s="14">
        <v>-36.137799999999999</v>
      </c>
      <c r="H39" s="2"/>
      <c r="I39" s="14">
        <v>210.994</v>
      </c>
      <c r="J39" s="14">
        <v>-53.851799999999997</v>
      </c>
      <c r="K39" s="14">
        <v>12.6935</v>
      </c>
      <c r="M39" s="2">
        <v>211.01037456886357</v>
      </c>
      <c r="N39" s="2">
        <v>-53.863519023469365</v>
      </c>
      <c r="O39" s="2">
        <v>12.709637142367903</v>
      </c>
      <c r="Q39" s="3">
        <f t="shared" si="5"/>
        <v>-1.6374568863568584E-2</v>
      </c>
      <c r="R39" s="3">
        <f t="shared" si="3"/>
        <v>1.171902346936804E-2</v>
      </c>
      <c r="S39" s="3">
        <f t="shared" si="4"/>
        <v>-1.6137142367902868E-2</v>
      </c>
    </row>
    <row r="40" spans="1:21">
      <c r="B40" s="2" t="s">
        <v>37</v>
      </c>
      <c r="C40" s="2"/>
      <c r="D40" s="2"/>
      <c r="E40" s="14">
        <v>-132.34479999999999</v>
      </c>
      <c r="F40" s="14">
        <v>-64.674000000000007</v>
      </c>
      <c r="G40" s="14">
        <v>-84.341999999999999</v>
      </c>
      <c r="H40" s="2"/>
      <c r="I40" s="14">
        <v>133.97370000000001</v>
      </c>
      <c r="J40" s="14">
        <v>-104.3361</v>
      </c>
      <c r="K40" s="14">
        <v>0.1946</v>
      </c>
      <c r="M40" s="2">
        <v>133.94754280096447</v>
      </c>
      <c r="N40" s="2">
        <v>-104.31737529707428</v>
      </c>
      <c r="O40" s="2">
        <v>0.16881665452035577</v>
      </c>
      <c r="Q40" s="3">
        <f t="shared" si="5"/>
        <v>2.6157199035537815E-2</v>
      </c>
      <c r="R40" s="3">
        <f t="shared" si="3"/>
        <v>-1.8724702925723591E-2</v>
      </c>
      <c r="S40" s="3">
        <f t="shared" si="4"/>
        <v>2.5783345479644226E-2</v>
      </c>
    </row>
    <row r="41" spans="1:21">
      <c r="E41" t="s">
        <v>41</v>
      </c>
    </row>
    <row r="42" spans="1:21">
      <c r="E42" t="s">
        <v>42</v>
      </c>
    </row>
    <row r="43" spans="1:21">
      <c r="E43" s="2">
        <f t="array" ref="E43:I45">TRANSPOSE(E36:G40)</f>
        <v>-0.45369999999999999</v>
      </c>
      <c r="F43" s="2">
        <v>-42.288600000000002</v>
      </c>
      <c r="G43" s="2">
        <v>-22.581099999999999</v>
      </c>
      <c r="H43" s="2">
        <v>-166.16040000000001</v>
      </c>
      <c r="I43" s="2">
        <v>-132.34479999999999</v>
      </c>
    </row>
    <row r="44" spans="1:21">
      <c r="E44" s="2">
        <v>16.8461</v>
      </c>
      <c r="F44" s="2">
        <v>43.518999999999998</v>
      </c>
      <c r="G44" s="2">
        <v>51.009399999999999</v>
      </c>
      <c r="H44" s="2">
        <v>-136.61760000000001</v>
      </c>
      <c r="I44" s="2">
        <v>-64.674000000000007</v>
      </c>
    </row>
    <row r="45" spans="1:21">
      <c r="E45" s="2">
        <v>-7.6365999999999996</v>
      </c>
      <c r="F45" s="2">
        <v>-96.369900000000001</v>
      </c>
      <c r="G45" s="2">
        <v>-74.260900000000007</v>
      </c>
      <c r="H45" s="2">
        <v>-36.137799999999999</v>
      </c>
      <c r="I45" s="2">
        <v>-84.341999999999999</v>
      </c>
    </row>
    <row r="46" spans="1:21">
      <c r="E46" t="s">
        <v>43</v>
      </c>
      <c r="I46" t="s">
        <v>45</v>
      </c>
    </row>
    <row r="47" spans="1:21">
      <c r="E47" s="2">
        <f t="array" ref="E47:G49">MMULT(E43:I45,E36:G40)</f>
        <v>47422.862226060002</v>
      </c>
      <c r="F47" s="2">
        <v>28259.853636930005</v>
      </c>
      <c r="G47" s="2">
        <v>22922.602112269997</v>
      </c>
      <c r="I47" s="2">
        <f t="array" ref="I47:K49">MMULT(E43:I45,I36:K40)</f>
        <v>-51926.665003240007</v>
      </c>
      <c r="J47" s="2">
        <v>29575.789030389999</v>
      </c>
      <c r="K47" s="2">
        <v>-1733.6054003100003</v>
      </c>
    </row>
    <row r="48" spans="1:21">
      <c r="E48" s="2">
        <v>28259.853636930005</v>
      </c>
      <c r="F48" s="2">
        <v>27626.748240330006</v>
      </c>
      <c r="G48" s="2">
        <v>2281.2214554600005</v>
      </c>
      <c r="I48" s="2">
        <v>-39284.805001960005</v>
      </c>
      <c r="J48" s="2">
        <v>4398.3245939700009</v>
      </c>
      <c r="K48" s="2">
        <v>-2178.3300770200003</v>
      </c>
    </row>
    <row r="49" spans="2:17">
      <c r="E49" s="2">
        <v>22922.602112269997</v>
      </c>
      <c r="F49" s="2">
        <v>2281.2214554600005</v>
      </c>
      <c r="G49" s="2">
        <v>23279.670107220001</v>
      </c>
      <c r="I49" s="2">
        <v>-16300.807561790001</v>
      </c>
      <c r="J49" s="2">
        <v>28407.484528839999</v>
      </c>
      <c r="K49" s="2">
        <v>485.09702319000002</v>
      </c>
      <c r="M49" t="s">
        <v>51</v>
      </c>
    </row>
    <row r="50" spans="2:17">
      <c r="E50" t="s">
        <v>44</v>
      </c>
      <c r="I50" t="s">
        <v>49</v>
      </c>
      <c r="M50" t="s">
        <v>50</v>
      </c>
    </row>
    <row r="51" spans="2:17" ht="15.75" thickBot="1">
      <c r="I51" t="s">
        <v>5</v>
      </c>
      <c r="J51" t="s">
        <v>4</v>
      </c>
      <c r="K51" t="s">
        <v>6</v>
      </c>
      <c r="M51" t="s">
        <v>22</v>
      </c>
      <c r="N51" t="s">
        <v>23</v>
      </c>
      <c r="O51" t="s">
        <v>24</v>
      </c>
    </row>
    <row r="52" spans="2:17">
      <c r="E52" s="2">
        <f t="array" ref="E52:G54">MINVERSE(E47:G49)</f>
        <v>6.3552626783315788E-3</v>
      </c>
      <c r="F52" s="2">
        <v>-6.0329946874058057E-3</v>
      </c>
      <c r="G52" s="2">
        <v>-5.6665992329442416E-3</v>
      </c>
      <c r="I52" s="17">
        <f t="array" ref="I52:K54">MMULT(E52:G54,I47:K49)</f>
        <v>-0.63243260670911638</v>
      </c>
      <c r="J52" s="18">
        <v>0.45300925713860352</v>
      </c>
      <c r="K52" s="19">
        <v>-0.6245143369782693</v>
      </c>
      <c r="L52" t="s">
        <v>22</v>
      </c>
      <c r="M52" s="17">
        <f t="array" ref="M52:O54">TRANSPOSE(I52:K54)</f>
        <v>-0.63243260670911638</v>
      </c>
      <c r="N52" s="18">
        <v>-0.77493096533660832</v>
      </c>
      <c r="O52" s="19">
        <v>-1.547161561120447E-3</v>
      </c>
      <c r="P52" t="s">
        <v>5</v>
      </c>
    </row>
    <row r="53" spans="2:17">
      <c r="E53" s="2">
        <v>-6.0329946874058057E-3</v>
      </c>
      <c r="F53" s="2">
        <v>5.7635606115738281E-3</v>
      </c>
      <c r="G53" s="2">
        <v>5.3756766337965962E-3</v>
      </c>
      <c r="I53" s="20">
        <v>-0.77493096533660832</v>
      </c>
      <c r="J53" s="2">
        <v>-0.37111690283231269</v>
      </c>
      <c r="K53" s="21">
        <v>0.51161947189595791</v>
      </c>
      <c r="L53" t="s">
        <v>23</v>
      </c>
      <c r="M53" s="20">
        <v>0.45300925713860352</v>
      </c>
      <c r="N53" s="2">
        <v>-0.37111690283231269</v>
      </c>
      <c r="O53" s="21">
        <v>0.81057563653570242</v>
      </c>
      <c r="P53" t="s">
        <v>4</v>
      </c>
    </row>
    <row r="54" spans="2:17" ht="15.75" thickBot="1">
      <c r="E54" s="2">
        <v>-5.6665992329442399E-3</v>
      </c>
      <c r="F54" s="2">
        <v>5.3756766337965944E-3</v>
      </c>
      <c r="G54" s="2">
        <v>5.0958664845964143E-3</v>
      </c>
      <c r="I54" s="22">
        <v>-1.547161561120447E-3</v>
      </c>
      <c r="J54" s="23">
        <v>0.81057563653570242</v>
      </c>
      <c r="K54" s="24">
        <v>0.58563859814329877</v>
      </c>
      <c r="L54" t="s">
        <v>24</v>
      </c>
      <c r="M54" s="22">
        <v>-0.6245143369782693</v>
      </c>
      <c r="N54" s="23">
        <v>0.51161947189595791</v>
      </c>
      <c r="O54" s="24">
        <v>0.58563859814329877</v>
      </c>
      <c r="P54" t="s">
        <v>6</v>
      </c>
    </row>
    <row r="55" spans="2:17">
      <c r="B55" s="53"/>
      <c r="C55" s="53"/>
      <c r="D55" s="53"/>
      <c r="E55" s="53"/>
      <c r="F55" s="53"/>
      <c r="G55" s="53"/>
      <c r="H55" s="53"/>
      <c r="I55" s="53"/>
      <c r="J55" s="53"/>
      <c r="K55" s="53"/>
      <c r="L55" s="53"/>
      <c r="M55" s="53"/>
      <c r="N55" s="53"/>
      <c r="O55" s="53"/>
      <c r="P55" s="53"/>
      <c r="Q55" s="65"/>
    </row>
    <row r="56" spans="2:17">
      <c r="I56" t="s">
        <v>86</v>
      </c>
      <c r="M56" t="s">
        <v>87</v>
      </c>
      <c r="O56" t="s">
        <v>88</v>
      </c>
    </row>
    <row r="57" spans="2:17">
      <c r="I57" s="9" t="s">
        <v>108</v>
      </c>
      <c r="J57" s="9" t="s">
        <v>4</v>
      </c>
      <c r="K57" s="9" t="s">
        <v>6</v>
      </c>
      <c r="O57" s="9" t="s">
        <v>108</v>
      </c>
      <c r="P57" s="9" t="s">
        <v>4</v>
      </c>
      <c r="Q57" s="9" t="s">
        <v>6</v>
      </c>
    </row>
    <row r="58" spans="2:17">
      <c r="B58" s="59" t="s">
        <v>52</v>
      </c>
      <c r="E58">
        <f t="array" ref="E58:E60">E22^2*M52:M54</f>
        <v>-0.51227041143438434</v>
      </c>
      <c r="F58">
        <f t="array" ref="F58:F60">F22^2*N52:N54</f>
        <v>-1.7435946720073687</v>
      </c>
      <c r="G58">
        <f t="array" ref="G58:G60">G22^2*O52:O54</f>
        <v>-2.4754584977927158E-4</v>
      </c>
      <c r="I58" s="2">
        <f t="array" ref="I58:K60">MMULT(E58:G60,I52:K54)</f>
        <v>1.6751423969712598</v>
      </c>
      <c r="J58" s="2">
        <v>0.41481356129756292</v>
      </c>
      <c r="K58" s="2">
        <v>-0.572281741346927</v>
      </c>
      <c r="M58" s="6">
        <f>SQRT(I58)</f>
        <v>1.2942729221347635</v>
      </c>
      <c r="O58" s="37">
        <f>I58/M58^2</f>
        <v>1.0000000000000002</v>
      </c>
      <c r="P58" s="37">
        <f>J58/M58/M59</f>
        <v>0.42038749152944938</v>
      </c>
      <c r="Q58" s="37">
        <f>K58/M58/M60</f>
        <v>-0.45134402795207401</v>
      </c>
    </row>
    <row r="59" spans="2:17">
      <c r="E59">
        <v>0.36693749828226885</v>
      </c>
      <c r="F59">
        <v>-0.83501303137270355</v>
      </c>
      <c r="G59">
        <v>0.12969210184571242</v>
      </c>
      <c r="I59" s="2">
        <v>0.41481356129756297</v>
      </c>
      <c r="J59" s="2">
        <v>0.58123879154804825</v>
      </c>
      <c r="K59" s="2">
        <v>-0.5804139538741806</v>
      </c>
      <c r="M59" s="6">
        <f>SQRT(J59)</f>
        <v>0.76239018327103891</v>
      </c>
      <c r="O59" s="37">
        <f>I59/M58/M59</f>
        <v>0.42038749152944943</v>
      </c>
      <c r="P59" s="37">
        <f>J59/M59^2</f>
        <v>1</v>
      </c>
      <c r="Q59" s="37">
        <f>K59/M59/M60</f>
        <v>-0.77711309094144798</v>
      </c>
    </row>
    <row r="60" spans="2:17">
      <c r="B60" s="53"/>
      <c r="C60" s="53"/>
      <c r="D60" s="53"/>
      <c r="E60" s="53">
        <v>-0.50585661295239814</v>
      </c>
      <c r="F60" s="53">
        <v>1.1511438117659054</v>
      </c>
      <c r="G60" s="53">
        <v>9.3702175702927826E-2</v>
      </c>
      <c r="H60" s="53"/>
      <c r="I60" s="2">
        <v>-0.57228174134692722</v>
      </c>
      <c r="J60" s="2">
        <v>-0.5804139538741806</v>
      </c>
      <c r="K60" s="2">
        <v>0.95973790711765217</v>
      </c>
      <c r="L60" s="53"/>
      <c r="M60" s="6">
        <f>SQRT(K60)</f>
        <v>0.97966213926927492</v>
      </c>
      <c r="N60" s="53"/>
      <c r="O60" s="37">
        <f>I60/M58/M60</f>
        <v>-0.45134402795207418</v>
      </c>
      <c r="P60" s="37">
        <f>J60/M60/M59</f>
        <v>-0.77711309094144787</v>
      </c>
      <c r="Q60" s="37">
        <f>K60/M60^2</f>
        <v>1</v>
      </c>
    </row>
    <row r="61" spans="2:17">
      <c r="I61" t="s">
        <v>86</v>
      </c>
      <c r="M61" t="s">
        <v>87</v>
      </c>
      <c r="O61" t="s">
        <v>88</v>
      </c>
    </row>
    <row r="62" spans="2:17">
      <c r="B62" s="59" t="s">
        <v>55</v>
      </c>
      <c r="E62">
        <f t="array" ref="E62:E64">E21^2*M52:M54</f>
        <v>-6.324326067091165E-3</v>
      </c>
      <c r="F62">
        <f t="array" ref="F62:F64">F21^2*N52:N54</f>
        <v>-7.7493096533660846E-3</v>
      </c>
      <c r="G62">
        <f t="array" ref="G62:G64">G21^2*O52:O54</f>
        <v>-1.5471615611204474E-5</v>
      </c>
      <c r="I62" s="2">
        <f t="array" ref="I62:K64">MMULT(E62:G64,$I$52:$K$54)</f>
        <v>1.000491396775312E-2</v>
      </c>
      <c r="J62" s="2">
        <v>-1.6193705817984268E-6</v>
      </c>
      <c r="K62" s="2">
        <v>-2.412618706713837E-5</v>
      </c>
      <c r="M62" s="6">
        <f>SQRT(I62)</f>
        <v>0.1000245668211221</v>
      </c>
      <c r="O62" s="37">
        <f>I62/M62^2</f>
        <v>1</v>
      </c>
      <c r="P62" s="37">
        <f>J62/M62/M63</f>
        <v>-1.6189906564469174E-4</v>
      </c>
      <c r="Q62" s="37">
        <f>K62/M62/M64</f>
        <v>-2.4183885814667229E-3</v>
      </c>
    </row>
    <row r="63" spans="2:17">
      <c r="B63" s="59"/>
      <c r="E63">
        <v>4.530092571386036E-3</v>
      </c>
      <c r="F63">
        <v>-3.7111690283231275E-3</v>
      </c>
      <c r="G63">
        <v>8.1057563653570263E-3</v>
      </c>
      <c r="I63" s="2">
        <v>-1.6193705817984268E-6</v>
      </c>
      <c r="J63" s="2">
        <v>9.9997800516637703E-3</v>
      </c>
      <c r="K63" s="2">
        <v>1.9229697642161869E-5</v>
      </c>
      <c r="M63" s="6">
        <f>SQRT(J63)</f>
        <v>9.9998900252271622E-2</v>
      </c>
      <c r="O63" s="37">
        <f>I63/M62/M63</f>
        <v>-1.6189906564469174E-4</v>
      </c>
      <c r="P63" s="37">
        <f>J63/M63^2</f>
        <v>1</v>
      </c>
      <c r="Q63" s="37">
        <f>K63/M63/M64</f>
        <v>1.9280633699820522E-3</v>
      </c>
    </row>
    <row r="64" spans="2:17">
      <c r="B64" s="61"/>
      <c r="C64" s="53"/>
      <c r="D64" s="53"/>
      <c r="E64" s="53">
        <v>-6.2451433697826939E-3</v>
      </c>
      <c r="F64" s="53">
        <v>5.1161947189595804E-3</v>
      </c>
      <c r="G64" s="53">
        <v>5.8563859814329891E-3</v>
      </c>
      <c r="H64" s="53"/>
      <c r="I64" s="2">
        <v>-2.412618706713837E-5</v>
      </c>
      <c r="J64" s="2">
        <v>1.9229697642162737E-5</v>
      </c>
      <c r="K64" s="2">
        <v>9.9474520874975464E-3</v>
      </c>
      <c r="L64" s="53"/>
      <c r="M64" s="6">
        <f>SQRT(K64)</f>
        <v>9.9736914367236904E-2</v>
      </c>
      <c r="N64" s="53"/>
      <c r="O64" s="37">
        <f>I64/M62/M64</f>
        <v>-2.4183885814667229E-3</v>
      </c>
      <c r="P64" s="37">
        <f>J64/M64/M63</f>
        <v>1.9280633699821392E-3</v>
      </c>
      <c r="Q64" s="37">
        <f>K64/M64^2</f>
        <v>1</v>
      </c>
    </row>
    <row r="65" spans="2:17">
      <c r="B65" s="59"/>
      <c r="I65" t="s">
        <v>86</v>
      </c>
      <c r="M65" t="s">
        <v>87</v>
      </c>
      <c r="O65" t="s">
        <v>88</v>
      </c>
    </row>
    <row r="66" spans="2:17">
      <c r="B66" s="59" t="s">
        <v>56</v>
      </c>
      <c r="E66">
        <f t="array" ref="E66:E68">E23^2*M52:M54</f>
        <v>-0.22767573841528188</v>
      </c>
      <c r="F66">
        <f t="array" ref="F66:F68">F23^2*N52:N54</f>
        <v>-0.77493096533660832</v>
      </c>
      <c r="G66">
        <f t="array" ref="G66:G68">G23^2*O52:O54</f>
        <v>-1.3924454050084022E-4</v>
      </c>
      <c r="I66" s="2">
        <f t="array" ref="I66:K68">MMULT(E66:G68,$I$52:$K$54)</f>
        <v>0.74450777720172789</v>
      </c>
      <c r="J66" s="2">
        <v>0.18433789440453591</v>
      </c>
      <c r="K66" s="2">
        <v>-0.25436455539638075</v>
      </c>
      <c r="M66" s="6">
        <f>SQRT(I66)</f>
        <v>0.86284864095722369</v>
      </c>
      <c r="O66" s="37">
        <f>I66/M66^2</f>
        <v>1</v>
      </c>
      <c r="P66" s="37">
        <f>J66/M66/M67</f>
        <v>0.41058645187989817</v>
      </c>
      <c r="Q66" s="37">
        <f>K66/M66/M68</f>
        <v>-0.44798524330819706</v>
      </c>
    </row>
    <row r="67" spans="2:17">
      <c r="B67" s="62"/>
      <c r="C67" s="7"/>
      <c r="D67" s="7"/>
      <c r="E67" s="7">
        <v>0.16308333256989727</v>
      </c>
      <c r="F67" s="7">
        <v>-0.37111690283231269</v>
      </c>
      <c r="G67" s="7">
        <v>7.2951807288213211E-2</v>
      </c>
      <c r="H67" s="7"/>
      <c r="I67" s="54">
        <v>0.18433789440453588</v>
      </c>
      <c r="J67" s="54">
        <v>0.27073897253609852</v>
      </c>
      <c r="K67" s="54">
        <v>-0.24899511899853805</v>
      </c>
      <c r="L67" s="7"/>
      <c r="M67" s="55">
        <f>SQRT(J67)</f>
        <v>0.52032583304704227</v>
      </c>
      <c r="N67" s="7"/>
      <c r="O67" s="63">
        <f>I67/M66/M67</f>
        <v>0.41058645187989812</v>
      </c>
      <c r="P67" s="63">
        <f>J67/M67^2</f>
        <v>1</v>
      </c>
      <c r="Q67" s="63">
        <f>K67/M67/M68</f>
        <v>-0.72720554100062729</v>
      </c>
    </row>
    <row r="68" spans="2:17">
      <c r="B68" s="61"/>
      <c r="C68" s="53"/>
      <c r="D68" s="53"/>
      <c r="E68" s="53">
        <v>-0.22482516131217695</v>
      </c>
      <c r="F68" s="53">
        <v>0.51161947189595791</v>
      </c>
      <c r="G68" s="53">
        <v>5.2707473832896888E-2</v>
      </c>
      <c r="H68" s="53"/>
      <c r="I68" s="56">
        <v>-0.25436455539638075</v>
      </c>
      <c r="J68" s="56">
        <v>-0.24899511899853805</v>
      </c>
      <c r="K68" s="56">
        <v>0.43302855166317783</v>
      </c>
      <c r="L68" s="53"/>
      <c r="M68" s="15">
        <f>SQRT(K68)</f>
        <v>0.658049049587626</v>
      </c>
      <c r="N68" s="53"/>
      <c r="O68" s="64">
        <f>I68/M66/M68</f>
        <v>-0.44798524330819706</v>
      </c>
      <c r="P68" s="64">
        <f>J68/M68/M67</f>
        <v>-0.72720554100062729</v>
      </c>
      <c r="Q68" s="64">
        <f>K68/M68^2</f>
        <v>0.99999999999999989</v>
      </c>
    </row>
    <row r="69" spans="2:17">
      <c r="B69" s="59"/>
      <c r="I69" t="s">
        <v>86</v>
      </c>
      <c r="M69" t="s">
        <v>87</v>
      </c>
      <c r="O69" t="s">
        <v>88</v>
      </c>
    </row>
    <row r="70" spans="2:17">
      <c r="B70" s="59" t="s">
        <v>57</v>
      </c>
      <c r="E70">
        <f t="array" ref="E70:E72">E24^2*M52:M54</f>
        <v>-2.529730426836466E-2</v>
      </c>
      <c r="F70">
        <f t="array" ref="F70:F72">F24^2*N52:N54</f>
        <v>-6.9743786880294742E-2</v>
      </c>
      <c r="G70">
        <f t="array" ref="G70:G72">G24^2*O52:O54</f>
        <v>-1.3924454050084022E-4</v>
      </c>
      <c r="I70" s="2">
        <f t="array" ref="I70:K72">MMULT(E70:G72,$I$52:$K$54)</f>
        <v>7.0045675608333663E-2</v>
      </c>
      <c r="J70" s="2">
        <v>1.4310316932540181E-2</v>
      </c>
      <c r="K70" s="2">
        <v>-1.9965297186723355E-2</v>
      </c>
      <c r="M70" s="6">
        <f>SQRT(I70)</f>
        <v>0.26466143581627766</v>
      </c>
      <c r="O70" s="37">
        <f>I70/M70^2</f>
        <v>1</v>
      </c>
      <c r="P70" s="37">
        <f>J70/M70/M71</f>
        <v>0.1914821214915812</v>
      </c>
      <c r="Q70" s="37">
        <f>K70/M70/M72</f>
        <v>-0.28507225825665811</v>
      </c>
    </row>
    <row r="71" spans="2:17">
      <c r="B71" s="62"/>
      <c r="C71" s="7"/>
      <c r="D71" s="7"/>
      <c r="E71" s="7">
        <v>1.8120370285544144E-2</v>
      </c>
      <c r="F71" s="7">
        <v>-3.3400521254908139E-2</v>
      </c>
      <c r="G71" s="7">
        <v>7.2951807288213211E-2</v>
      </c>
      <c r="H71" s="7"/>
      <c r="I71" s="54">
        <v>1.4310316932540181E-2</v>
      </c>
      <c r="J71" s="54">
        <v>7.9737151112310445E-2</v>
      </c>
      <c r="K71" s="54">
        <v>1.4318606072126115E-2</v>
      </c>
      <c r="L71" s="7"/>
      <c r="M71" s="55">
        <f>SQRT(J71)</f>
        <v>0.28237767459965818</v>
      </c>
      <c r="N71" s="7"/>
      <c r="O71" s="63">
        <f>I71/M70/M71</f>
        <v>0.1914821214915812</v>
      </c>
      <c r="P71" s="63">
        <f>J71/M71^2</f>
        <v>1</v>
      </c>
      <c r="Q71" s="63">
        <f>K71/M71/M72</f>
        <v>0.1916197304382696</v>
      </c>
    </row>
    <row r="72" spans="2:17">
      <c r="B72" s="61"/>
      <c r="C72" s="53"/>
      <c r="D72" s="53"/>
      <c r="E72" s="53">
        <v>-2.4980573479130776E-2</v>
      </c>
      <c r="F72" s="53">
        <v>4.6045752470636213E-2</v>
      </c>
      <c r="G72" s="53">
        <v>5.2707473832896888E-2</v>
      </c>
      <c r="H72" s="53"/>
      <c r="I72" s="56">
        <v>-1.9965297186723362E-2</v>
      </c>
      <c r="J72" s="56">
        <v>1.4318606072126122E-2</v>
      </c>
      <c r="K72" s="56">
        <v>7.0026160932907533E-2</v>
      </c>
      <c r="L72" s="53"/>
      <c r="M72" s="15">
        <f>SQRT(K72)</f>
        <v>0.26462456600419304</v>
      </c>
      <c r="N72" s="53"/>
      <c r="O72" s="64">
        <f>I72/M70/M72</f>
        <v>-0.28507225825665822</v>
      </c>
      <c r="P72" s="64">
        <f>J72/M72/M71</f>
        <v>0.19161973043826969</v>
      </c>
      <c r="Q72" s="64">
        <f>K72/M72^2</f>
        <v>1.0000000000000002</v>
      </c>
    </row>
    <row r="73" spans="2:17">
      <c r="B73" s="59"/>
      <c r="I73" t="s">
        <v>86</v>
      </c>
      <c r="M73" t="s">
        <v>87</v>
      </c>
      <c r="O73" t="s">
        <v>88</v>
      </c>
    </row>
    <row r="74" spans="2:17">
      <c r="B74" s="59" t="s">
        <v>37</v>
      </c>
      <c r="E74">
        <f t="array" ref="E74:E76">E25^2*M52:M54</f>
        <v>-2.529730426836466E-2</v>
      </c>
      <c r="F74">
        <f t="array" ref="F74:F76">F25^2*N52:N54</f>
        <v>-0.19373274133415208</v>
      </c>
      <c r="G74">
        <f t="array" ref="G74:G76">G25^2*O52:O54</f>
        <v>-6.1886462444817896E-5</v>
      </c>
      <c r="I74" s="2">
        <f t="array" ref="I74:K76">MMULT(E74:G76,$I$52:$K$54)</f>
        <v>0.16612843608889327</v>
      </c>
      <c r="J74" s="2">
        <v>6.0387418268233836E-2</v>
      </c>
      <c r="K74" s="2">
        <v>-8.3355156708950037E-2</v>
      </c>
      <c r="M74" s="6">
        <f>SQRT(I74)</f>
        <v>0.40758856226456264</v>
      </c>
      <c r="O74" s="37">
        <f>I74/M74^2</f>
        <v>1.0000000000000002</v>
      </c>
      <c r="P74" s="37">
        <f>J74/M74/M75</f>
        <v>0.56434632293636044</v>
      </c>
      <c r="Q74" s="37">
        <f>K74/M74/M76</f>
        <v>-0.6643576928157735</v>
      </c>
    </row>
    <row r="75" spans="2:17">
      <c r="B75" s="7"/>
      <c r="C75" s="7"/>
      <c r="D75" s="7"/>
      <c r="E75" s="7">
        <v>1.8120370285544144E-2</v>
      </c>
      <c r="F75" s="7">
        <v>-9.2779225708078172E-2</v>
      </c>
      <c r="G75" s="7">
        <v>3.2423025461428105E-2</v>
      </c>
      <c r="H75" s="7"/>
      <c r="I75" s="54">
        <v>6.0387418268233836E-2</v>
      </c>
      <c r="J75" s="54">
        <v>6.8921948875903208E-2</v>
      </c>
      <c r="K75" s="54">
        <v>-3.979591431556493E-2</v>
      </c>
      <c r="L75" s="7"/>
      <c r="M75" s="55">
        <f>SQRT(J75)</f>
        <v>0.26252990091778727</v>
      </c>
      <c r="N75" s="7"/>
      <c r="O75" s="63">
        <f>I75/M74/M75</f>
        <v>0.56434632293636044</v>
      </c>
      <c r="P75" s="63">
        <f>J75/M75^2</f>
        <v>1</v>
      </c>
      <c r="Q75" s="63">
        <f>K75/M75/M76</f>
        <v>-0.49243758943588101</v>
      </c>
    </row>
    <row r="76" spans="2:17">
      <c r="B76" s="53"/>
      <c r="C76" s="53"/>
      <c r="D76" s="53"/>
      <c r="E76" s="53">
        <v>-2.4980573479130776E-2</v>
      </c>
      <c r="F76" s="53">
        <v>0.12790486797398948</v>
      </c>
      <c r="G76" s="53">
        <v>2.3425543925731956E-2</v>
      </c>
      <c r="H76" s="53"/>
      <c r="I76" s="56">
        <v>-8.3355156708950037E-2</v>
      </c>
      <c r="J76" s="56">
        <v>-3.979591431556493E-2</v>
      </c>
      <c r="K76" s="56">
        <v>9.4758249994840948E-2</v>
      </c>
      <c r="L76" s="53"/>
      <c r="M76" s="15">
        <f>SQRT(K76)</f>
        <v>0.30782828004398971</v>
      </c>
      <c r="N76" s="53"/>
      <c r="O76" s="64">
        <f>I76/M74/M76</f>
        <v>-0.6643576928157735</v>
      </c>
      <c r="P76" s="64">
        <f>J76/M76/M75</f>
        <v>-0.49243758943588095</v>
      </c>
      <c r="Q76" s="64">
        <f>K76/M76^2</f>
        <v>1</v>
      </c>
    </row>
  </sheetData>
  <mergeCells count="25">
    <mergeCell ref="AC11:AE11"/>
    <mergeCell ref="E19:G19"/>
    <mergeCell ref="I19:K19"/>
    <mergeCell ref="E10:G10"/>
    <mergeCell ref="I10:K10"/>
    <mergeCell ref="E11:G11"/>
    <mergeCell ref="I11:K11"/>
    <mergeCell ref="M10:O10"/>
    <mergeCell ref="M11:O11"/>
    <mergeCell ref="AC28:AE28"/>
    <mergeCell ref="E3:N3"/>
    <mergeCell ref="E4:N4"/>
    <mergeCell ref="E5:N5"/>
    <mergeCell ref="E6:N6"/>
    <mergeCell ref="E7:N7"/>
    <mergeCell ref="E28:G28"/>
    <mergeCell ref="I28:K28"/>
    <mergeCell ref="M28:O28"/>
    <mergeCell ref="Q28:S28"/>
    <mergeCell ref="U28:W28"/>
    <mergeCell ref="Y28:AA28"/>
    <mergeCell ref="Q10:S10"/>
    <mergeCell ref="Q11:S11"/>
    <mergeCell ref="U11:W11"/>
    <mergeCell ref="Y11:AA11"/>
  </mergeCells>
  <pageMargins left="0.25" right="0.25" top="0.75" bottom="0.75" header="0.3" footer="0.3"/>
  <pageSetup paperSize="9" orientation="landscape" horizontalDpi="4294967294"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8BA79-C492-4B04-AB59-02541D6F0778}">
  <dimension ref="B2:T75"/>
  <sheetViews>
    <sheetView workbookViewId="0"/>
  </sheetViews>
  <sheetFormatPr defaultRowHeight="15"/>
  <cols>
    <col min="1" max="1" width="4.140625" customWidth="1"/>
    <col min="2" max="2" width="13.140625" customWidth="1"/>
    <col min="3" max="3" width="13.7109375" customWidth="1"/>
    <col min="5" max="5" width="9.140625" customWidth="1"/>
    <col min="7" max="7" width="3" customWidth="1"/>
    <col min="11" max="11" width="2.5703125" customWidth="1"/>
    <col min="12" max="12" width="10.5703125" customWidth="1"/>
    <col min="13" max="13" width="10" customWidth="1"/>
    <col min="15" max="15" width="3.7109375" customWidth="1"/>
    <col min="16" max="17" width="9.7109375" customWidth="1"/>
  </cols>
  <sheetData>
    <row r="2" spans="3:20" ht="21">
      <c r="D2" s="339" t="s">
        <v>91</v>
      </c>
      <c r="E2" s="339"/>
      <c r="F2" s="339"/>
      <c r="G2" s="339"/>
      <c r="H2" s="339"/>
      <c r="I2" s="339"/>
      <c r="J2" s="339"/>
      <c r="K2" s="339"/>
      <c r="L2" s="339"/>
      <c r="M2" s="339"/>
    </row>
    <row r="3" spans="3:20">
      <c r="M3" t="s">
        <v>92</v>
      </c>
    </row>
    <row r="4" spans="3:20" ht="18.75">
      <c r="C4" s="73" t="s">
        <v>90</v>
      </c>
    </row>
    <row r="5" spans="3:20" ht="31.5" customHeight="1">
      <c r="C5" s="345" t="s">
        <v>103</v>
      </c>
      <c r="D5" s="345"/>
      <c r="E5" s="345"/>
      <c r="F5" s="345"/>
      <c r="G5" s="345"/>
      <c r="H5" s="345"/>
      <c r="I5" s="345"/>
      <c r="J5" s="345"/>
      <c r="K5" s="345"/>
      <c r="L5" s="345"/>
      <c r="M5" s="345"/>
      <c r="N5" s="345"/>
      <c r="O5" s="345"/>
      <c r="P5" s="345"/>
      <c r="Q5" s="345"/>
    </row>
    <row r="6" spans="3:20" ht="12.75" customHeight="1">
      <c r="C6" s="73"/>
    </row>
    <row r="7" spans="3:20" ht="18.75">
      <c r="C7" s="73" t="s">
        <v>93</v>
      </c>
    </row>
    <row r="8" spans="3:20" ht="9" customHeight="1" thickBot="1"/>
    <row r="9" spans="3:20">
      <c r="C9" s="58" t="s">
        <v>32</v>
      </c>
      <c r="D9" s="32"/>
      <c r="E9" s="32"/>
      <c r="F9" s="327" t="s">
        <v>78</v>
      </c>
      <c r="G9" s="327"/>
      <c r="H9" s="327"/>
      <c r="I9" s="327"/>
      <c r="J9" s="327"/>
      <c r="K9" s="327"/>
      <c r="L9" s="327"/>
      <c r="M9" s="327"/>
      <c r="N9" s="327"/>
      <c r="O9" s="328"/>
    </row>
    <row r="10" spans="3:20" ht="14.25" customHeight="1">
      <c r="C10" s="33" t="s">
        <v>21</v>
      </c>
      <c r="D10" s="7"/>
      <c r="E10" s="7"/>
      <c r="F10" s="329" t="s">
        <v>80</v>
      </c>
      <c r="G10" s="329"/>
      <c r="H10" s="329"/>
      <c r="I10" s="329"/>
      <c r="J10" s="329"/>
      <c r="K10" s="329"/>
      <c r="L10" s="329"/>
      <c r="M10" s="329"/>
      <c r="N10" s="329"/>
      <c r="O10" s="330"/>
    </row>
    <row r="11" spans="3:20">
      <c r="C11" s="33" t="s">
        <v>25</v>
      </c>
      <c r="D11" s="7"/>
      <c r="E11" s="7"/>
      <c r="F11" s="331" t="s">
        <v>94</v>
      </c>
      <c r="G11" s="331"/>
      <c r="H11" s="331"/>
      <c r="I11" s="331"/>
      <c r="J11" s="331"/>
      <c r="K11" s="331"/>
      <c r="L11" s="331"/>
      <c r="M11" s="331"/>
      <c r="N11" s="331"/>
      <c r="O11" s="332"/>
    </row>
    <row r="12" spans="3:20">
      <c r="C12" s="33" t="s">
        <v>26</v>
      </c>
      <c r="D12" s="7"/>
      <c r="E12" s="7"/>
      <c r="F12" s="331" t="s">
        <v>95</v>
      </c>
      <c r="G12" s="331"/>
      <c r="H12" s="331"/>
      <c r="I12" s="331"/>
      <c r="J12" s="331"/>
      <c r="K12" s="331"/>
      <c r="L12" s="331"/>
      <c r="M12" s="331"/>
      <c r="N12" s="331"/>
      <c r="O12" s="332"/>
    </row>
    <row r="13" spans="3:20" ht="15.75" thickBot="1">
      <c r="C13" s="34" t="s">
        <v>37</v>
      </c>
      <c r="D13" s="35"/>
      <c r="E13" s="35"/>
      <c r="F13" s="333" t="s">
        <v>82</v>
      </c>
      <c r="G13" s="334"/>
      <c r="H13" s="334"/>
      <c r="I13" s="334"/>
      <c r="J13" s="334"/>
      <c r="K13" s="334"/>
      <c r="L13" s="334"/>
      <c r="M13" s="334"/>
      <c r="N13" s="334"/>
      <c r="O13" s="335"/>
    </row>
    <row r="14" spans="3:20" ht="9.75" customHeight="1"/>
    <row r="15" spans="3:20" ht="18.75">
      <c r="C15" s="73" t="s">
        <v>98</v>
      </c>
    </row>
    <row r="16" spans="3:20" ht="15.75" thickBot="1">
      <c r="C16" s="331" t="s">
        <v>97</v>
      </c>
      <c r="D16" s="331"/>
      <c r="E16" s="331"/>
      <c r="F16" s="331"/>
      <c r="G16" s="331"/>
      <c r="H16" s="331"/>
      <c r="I16" s="331"/>
      <c r="J16" s="331"/>
      <c r="K16" s="331"/>
      <c r="L16" s="331"/>
      <c r="M16" s="331"/>
      <c r="N16" s="331"/>
      <c r="O16" s="331"/>
      <c r="P16" s="331"/>
      <c r="Q16" s="331"/>
      <c r="R16" s="321"/>
      <c r="S16" s="321"/>
      <c r="T16" s="321"/>
    </row>
    <row r="17" spans="3:18">
      <c r="C17" s="17"/>
      <c r="D17" s="318" t="s">
        <v>13</v>
      </c>
      <c r="E17" s="318"/>
      <c r="F17" s="318"/>
      <c r="G17" s="18"/>
      <c r="H17" s="325" t="s">
        <v>12</v>
      </c>
      <c r="I17" s="325"/>
      <c r="J17" s="325"/>
      <c r="K17" s="18"/>
      <c r="L17" s="325" t="s">
        <v>11</v>
      </c>
      <c r="M17" s="325"/>
      <c r="N17" s="325"/>
      <c r="O17" s="18"/>
      <c r="P17" s="325" t="s">
        <v>10</v>
      </c>
      <c r="Q17" s="325"/>
      <c r="R17" s="344"/>
    </row>
    <row r="18" spans="3:18" ht="15.75" thickBot="1">
      <c r="C18" s="108" t="s">
        <v>96</v>
      </c>
      <c r="D18" s="109" t="s">
        <v>4</v>
      </c>
      <c r="E18" s="109" t="s">
        <v>5</v>
      </c>
      <c r="F18" s="109" t="s">
        <v>6</v>
      </c>
      <c r="G18" s="60"/>
      <c r="H18" s="109" t="s">
        <v>4</v>
      </c>
      <c r="I18" s="109" t="s">
        <v>5</v>
      </c>
      <c r="J18" s="109" t="s">
        <v>6</v>
      </c>
      <c r="K18" s="60"/>
      <c r="L18" s="109" t="s">
        <v>4</v>
      </c>
      <c r="M18" s="109" t="s">
        <v>5</v>
      </c>
      <c r="N18" s="109" t="s">
        <v>6</v>
      </c>
      <c r="O18" s="60"/>
      <c r="P18" s="109" t="s">
        <v>4</v>
      </c>
      <c r="Q18" s="109" t="s">
        <v>5</v>
      </c>
      <c r="R18" s="28" t="s">
        <v>6</v>
      </c>
    </row>
    <row r="19" spans="3:18" ht="15.75" thickTop="1">
      <c r="C19" s="52" t="s">
        <v>32</v>
      </c>
      <c r="D19" s="50">
        <v>-12.6586</v>
      </c>
      <c r="E19" s="50">
        <v>-12.742100000000001</v>
      </c>
      <c r="F19" s="50">
        <v>4.4387999999999996</v>
      </c>
      <c r="G19" s="50"/>
      <c r="H19" s="50">
        <v>-12.6585</v>
      </c>
      <c r="I19" s="50">
        <v>-12.74</v>
      </c>
      <c r="J19" s="50">
        <v>4.4427000000000003</v>
      </c>
      <c r="K19" s="50"/>
      <c r="L19" s="50">
        <v>-12.658899999999999</v>
      </c>
      <c r="M19" s="50">
        <v>-12.74</v>
      </c>
      <c r="N19" s="50">
        <v>4.4432999999999998</v>
      </c>
      <c r="O19" s="50"/>
      <c r="P19" s="50">
        <v>-12.658300000000001</v>
      </c>
      <c r="Q19" s="50">
        <v>-12.740600000000001</v>
      </c>
      <c r="R19" s="28">
        <v>4.4447999999999999</v>
      </c>
    </row>
    <row r="20" spans="3:18">
      <c r="C20" s="20" t="s">
        <v>21</v>
      </c>
      <c r="D20" s="14"/>
      <c r="E20" s="14"/>
      <c r="F20" s="14"/>
      <c r="G20" s="2"/>
      <c r="H20" s="14"/>
      <c r="I20" s="14"/>
      <c r="J20" s="14"/>
      <c r="K20" s="2"/>
      <c r="L20" s="14">
        <v>-113.41249999999999</v>
      </c>
      <c r="M20" s="14">
        <v>-6.8457999999999997</v>
      </c>
      <c r="N20" s="14">
        <v>-7.7770999999999999</v>
      </c>
      <c r="O20" s="2"/>
      <c r="P20" s="14">
        <v>-113.4106</v>
      </c>
      <c r="Q20" s="14">
        <v>-6.8475000000000001</v>
      </c>
      <c r="R20" s="28">
        <v>-7.7797999999999998</v>
      </c>
    </row>
    <row r="21" spans="3:18">
      <c r="C21" s="20" t="s">
        <v>25</v>
      </c>
      <c r="D21" s="14">
        <v>-89.357600000000005</v>
      </c>
      <c r="E21" s="14">
        <v>-25.131</v>
      </c>
      <c r="F21" s="14">
        <v>-3.2924000000000002</v>
      </c>
      <c r="G21" s="2"/>
      <c r="H21" s="14">
        <v>-89.355599999999995</v>
      </c>
      <c r="I21" s="14">
        <v>-25.132100000000001</v>
      </c>
      <c r="J21" s="14">
        <v>-3.2930999999999999</v>
      </c>
      <c r="K21" s="2"/>
      <c r="L21" s="14">
        <v>-89.354900000000001</v>
      </c>
      <c r="M21" s="14">
        <v>-25.133400000000002</v>
      </c>
      <c r="N21" s="14">
        <v>-3.2906</v>
      </c>
      <c r="O21" s="2"/>
      <c r="P21" s="14">
        <v>-89.353200000000001</v>
      </c>
      <c r="Q21" s="14">
        <v>-25.134</v>
      </c>
      <c r="R21" s="28">
        <v>-3.2915000000000001</v>
      </c>
    </row>
    <row r="22" spans="3:18">
      <c r="C22" s="20" t="s">
        <v>26</v>
      </c>
      <c r="D22" s="14"/>
      <c r="E22" s="14"/>
      <c r="F22" s="14"/>
      <c r="G22" s="2"/>
      <c r="H22" s="14"/>
      <c r="I22" s="14"/>
      <c r="J22" s="14"/>
      <c r="K22" s="2"/>
      <c r="L22" s="14">
        <v>-53.850700000000003</v>
      </c>
      <c r="M22" s="14">
        <v>210.99340000000001</v>
      </c>
      <c r="N22" s="14">
        <v>12.6928</v>
      </c>
      <c r="O22" s="2"/>
      <c r="P22" s="14">
        <v>-53.851799999999997</v>
      </c>
      <c r="Q22" s="14">
        <v>210.994</v>
      </c>
      <c r="R22" s="28">
        <v>12.6935</v>
      </c>
    </row>
    <row r="23" spans="3:18" ht="15.75" thickBot="1">
      <c r="C23" s="22" t="s">
        <v>37</v>
      </c>
      <c r="D23" s="29"/>
      <c r="E23" s="29"/>
      <c r="F23" s="29"/>
      <c r="G23" s="23"/>
      <c r="H23" s="29"/>
      <c r="I23" s="29"/>
      <c r="J23" s="29"/>
      <c r="K23" s="23"/>
      <c r="L23" s="29">
        <v>-104.33199999999999</v>
      </c>
      <c r="M23" s="29">
        <v>133.97790000000001</v>
      </c>
      <c r="N23" s="29">
        <v>0.1938</v>
      </c>
      <c r="O23" s="23"/>
      <c r="P23" s="29">
        <v>-104.3361</v>
      </c>
      <c r="Q23" s="29">
        <v>133.97370000000001</v>
      </c>
      <c r="R23" s="30">
        <v>0.1946</v>
      </c>
    </row>
    <row r="24" spans="3:18" ht="12" customHeight="1" thickBot="1"/>
    <row r="25" spans="3:18" ht="18.75">
      <c r="C25" s="107" t="s">
        <v>84</v>
      </c>
      <c r="D25" s="318" t="s">
        <v>10</v>
      </c>
      <c r="E25" s="318"/>
      <c r="F25" s="319"/>
      <c r="G25" s="7"/>
      <c r="H25" s="341" t="s">
        <v>10</v>
      </c>
      <c r="I25" s="342"/>
      <c r="J25" s="343"/>
      <c r="L25" s="340" t="s">
        <v>100</v>
      </c>
      <c r="M25" s="340"/>
      <c r="N25" s="340"/>
      <c r="O25" s="340"/>
      <c r="P25" s="340"/>
      <c r="Q25" s="340"/>
    </row>
    <row r="26" spans="3:18" ht="15.75" thickBot="1">
      <c r="C26" s="108"/>
      <c r="D26" s="109" t="s">
        <v>22</v>
      </c>
      <c r="E26" s="109" t="s">
        <v>23</v>
      </c>
      <c r="F26" s="110" t="s">
        <v>24</v>
      </c>
      <c r="G26" s="7"/>
      <c r="H26" s="112" t="s">
        <v>5</v>
      </c>
      <c r="I26" s="109" t="s">
        <v>4</v>
      </c>
      <c r="J26" s="110" t="s">
        <v>6</v>
      </c>
      <c r="L26" s="340"/>
      <c r="M26" s="340"/>
      <c r="N26" s="340"/>
      <c r="O26" s="340"/>
      <c r="P26" s="340"/>
      <c r="Q26" s="340"/>
    </row>
    <row r="27" spans="3:18" ht="15.75" thickTop="1">
      <c r="C27" s="52" t="s">
        <v>32</v>
      </c>
      <c r="D27" s="15">
        <v>0.1</v>
      </c>
      <c r="E27" s="15">
        <v>0.1</v>
      </c>
      <c r="F27" s="102">
        <v>0.1</v>
      </c>
      <c r="G27" s="7"/>
      <c r="H27" s="111">
        <v>0.1000245668211221</v>
      </c>
      <c r="I27" s="15">
        <v>9.9998900252271622E-2</v>
      </c>
      <c r="J27" s="102">
        <v>9.9736914367236904E-2</v>
      </c>
      <c r="L27" s="340"/>
      <c r="M27" s="340"/>
      <c r="N27" s="340"/>
      <c r="O27" s="340"/>
      <c r="P27" s="340"/>
      <c r="Q27" s="340"/>
    </row>
    <row r="28" spans="3:18">
      <c r="C28" s="20" t="s">
        <v>21</v>
      </c>
      <c r="D28" s="6">
        <v>0.9</v>
      </c>
      <c r="E28" s="6">
        <v>1.5</v>
      </c>
      <c r="F28" s="87">
        <v>0.4</v>
      </c>
      <c r="G28" t="s">
        <v>59</v>
      </c>
      <c r="H28" s="100">
        <v>1.2942729221347635</v>
      </c>
      <c r="I28" s="6">
        <v>0.76239018327103891</v>
      </c>
      <c r="J28" s="87">
        <v>0.97966213926927492</v>
      </c>
      <c r="L28" s="340"/>
      <c r="M28" s="340"/>
      <c r="N28" s="340"/>
      <c r="O28" s="340"/>
      <c r="P28" s="340"/>
      <c r="Q28" s="340"/>
    </row>
    <row r="29" spans="3:18">
      <c r="C29" s="20" t="s">
        <v>25</v>
      </c>
      <c r="D29" s="6">
        <v>0.6</v>
      </c>
      <c r="E29" s="6">
        <v>1</v>
      </c>
      <c r="F29" s="87">
        <v>0.3</v>
      </c>
      <c r="G29" s="7"/>
      <c r="H29" s="100">
        <v>0.86284864095722369</v>
      </c>
      <c r="I29" s="6">
        <v>0.52032583304704227</v>
      </c>
      <c r="J29" s="87">
        <v>0.658049049587626</v>
      </c>
      <c r="L29" s="340"/>
      <c r="M29" s="340"/>
      <c r="N29" s="340"/>
      <c r="O29" s="340"/>
      <c r="P29" s="340"/>
      <c r="Q29" s="340"/>
    </row>
    <row r="30" spans="3:18">
      <c r="C30" s="20" t="s">
        <v>26</v>
      </c>
      <c r="D30" s="6">
        <v>0.2</v>
      </c>
      <c r="E30" s="6">
        <v>0.3</v>
      </c>
      <c r="F30" s="87">
        <v>0.3</v>
      </c>
      <c r="G30" s="7"/>
      <c r="H30" s="100">
        <v>0.26466143581627766</v>
      </c>
      <c r="I30" s="6">
        <v>0.28237767459965818</v>
      </c>
      <c r="J30" s="87">
        <v>0.26462456600419304</v>
      </c>
      <c r="L30" s="340"/>
      <c r="M30" s="340"/>
      <c r="N30" s="340"/>
      <c r="O30" s="340"/>
      <c r="P30" s="340"/>
      <c r="Q30" s="340"/>
    </row>
    <row r="31" spans="3:18" ht="15.75" thickBot="1">
      <c r="C31" s="22" t="s">
        <v>37</v>
      </c>
      <c r="D31" s="88">
        <v>0.2</v>
      </c>
      <c r="E31" s="88">
        <v>0.5</v>
      </c>
      <c r="F31" s="89">
        <v>0.2</v>
      </c>
      <c r="G31" s="7"/>
      <c r="H31" s="101">
        <v>0.40758856226456264</v>
      </c>
      <c r="I31" s="88">
        <v>0.26252990091778727</v>
      </c>
      <c r="J31" s="89">
        <v>0.30782828004398971</v>
      </c>
      <c r="L31" s="340"/>
      <c r="M31" s="340"/>
      <c r="N31" s="340"/>
      <c r="O31" s="340"/>
      <c r="P31" s="340"/>
      <c r="Q31" s="340"/>
    </row>
    <row r="32" spans="3:18">
      <c r="C32" s="7"/>
      <c r="E32" s="8"/>
      <c r="F32" s="8"/>
      <c r="G32" s="7"/>
      <c r="J32" s="8"/>
      <c r="K32" s="8"/>
      <c r="L32" s="8"/>
    </row>
    <row r="33" spans="2:14">
      <c r="C33" s="31" t="s">
        <v>102</v>
      </c>
    </row>
    <row r="34" spans="2:14" ht="15.75" thickBot="1">
      <c r="C34" s="31"/>
      <c r="D34" t="s">
        <v>22</v>
      </c>
      <c r="E34" t="s">
        <v>23</v>
      </c>
      <c r="F34" t="s">
        <v>24</v>
      </c>
    </row>
    <row r="35" spans="2:14">
      <c r="C35" s="74" t="s">
        <v>41</v>
      </c>
      <c r="D35" s="17">
        <v>-0.63243260670911638</v>
      </c>
      <c r="E35" s="18">
        <v>-0.77493096533660832</v>
      </c>
      <c r="F35" s="19">
        <v>-1.547161561120447E-3</v>
      </c>
      <c r="G35" t="s">
        <v>5</v>
      </c>
    </row>
    <row r="36" spans="2:14">
      <c r="D36" s="20">
        <v>0.45300925713860352</v>
      </c>
      <c r="E36" s="2">
        <v>-0.37111690283231269</v>
      </c>
      <c r="F36" s="21">
        <v>0.81057563653570242</v>
      </c>
      <c r="G36" t="s">
        <v>4</v>
      </c>
    </row>
    <row r="37" spans="2:14" ht="15.75" thickBot="1">
      <c r="D37" s="22">
        <v>-0.6245143369782693</v>
      </c>
      <c r="E37" s="23">
        <v>0.51161947189595791</v>
      </c>
      <c r="F37" s="24">
        <v>0.58563859814329877</v>
      </c>
      <c r="G37" t="s">
        <v>6</v>
      </c>
    </row>
    <row r="38" spans="2:14" ht="18.75" customHeight="1"/>
    <row r="39" spans="2:14" ht="18.75">
      <c r="C39" s="73" t="s">
        <v>104</v>
      </c>
    </row>
    <row r="40" spans="2:14">
      <c r="C40" s="59"/>
      <c r="D40" t="s">
        <v>86</v>
      </c>
      <c r="H40" t="s">
        <v>87</v>
      </c>
      <c r="I40" s="7"/>
      <c r="L40" t="s">
        <v>88</v>
      </c>
    </row>
    <row r="41" spans="2:14" ht="15.75" thickBot="1">
      <c r="B41" s="170" t="s">
        <v>169</v>
      </c>
      <c r="C41" s="59"/>
      <c r="D41" s="9" t="s">
        <v>108</v>
      </c>
      <c r="E41" s="9" t="s">
        <v>4</v>
      </c>
      <c r="F41" s="9" t="s">
        <v>6</v>
      </c>
      <c r="I41" s="7"/>
      <c r="L41" s="9" t="s">
        <v>108</v>
      </c>
      <c r="M41" s="9" t="s">
        <v>4</v>
      </c>
      <c r="N41" s="9" t="s">
        <v>6</v>
      </c>
    </row>
    <row r="42" spans="2:14">
      <c r="B42" t="s">
        <v>170</v>
      </c>
      <c r="C42" s="80" t="s">
        <v>52</v>
      </c>
      <c r="D42" s="17">
        <v>1.6751423969712598</v>
      </c>
      <c r="E42" s="18">
        <v>0.41481356129756292</v>
      </c>
      <c r="F42" s="19">
        <v>-0.572281741346927</v>
      </c>
      <c r="G42" s="81"/>
      <c r="H42" s="77">
        <v>1.2942729221347635</v>
      </c>
      <c r="I42" s="82"/>
      <c r="J42" s="81"/>
      <c r="K42" s="81"/>
      <c r="L42" s="90">
        <v>1.0000000000000002</v>
      </c>
      <c r="M42" s="91">
        <v>0.42038749152944938</v>
      </c>
      <c r="N42" s="92">
        <v>-0.45134402795207401</v>
      </c>
    </row>
    <row r="43" spans="2:14">
      <c r="C43" s="79"/>
      <c r="D43" s="20">
        <v>0.41481356129756297</v>
      </c>
      <c r="E43" s="2">
        <v>0.58123879154804825</v>
      </c>
      <c r="F43" s="21">
        <v>-0.5804139538741806</v>
      </c>
      <c r="G43" s="7"/>
      <c r="H43" s="77">
        <v>0.76239018327103891</v>
      </c>
      <c r="I43" s="79"/>
      <c r="J43" s="7"/>
      <c r="K43" s="7"/>
      <c r="L43" s="93">
        <v>0.42038749152944943</v>
      </c>
      <c r="M43" s="37">
        <v>1</v>
      </c>
      <c r="N43" s="94">
        <v>-0.77711309094144798</v>
      </c>
    </row>
    <row r="44" spans="2:14" ht="15.75" thickBot="1">
      <c r="C44" s="66"/>
      <c r="D44" s="22">
        <v>-0.57228174134692722</v>
      </c>
      <c r="E44" s="23">
        <v>-0.5804139538741806</v>
      </c>
      <c r="F44" s="24">
        <v>0.95973790711765217</v>
      </c>
      <c r="G44" s="53"/>
      <c r="H44" s="77">
        <v>0.97966213926927492</v>
      </c>
      <c r="I44" s="66"/>
      <c r="J44" s="53"/>
      <c r="K44" s="53"/>
      <c r="L44" s="95">
        <v>-0.45134402795207401</v>
      </c>
      <c r="M44" s="96">
        <v>-0.77711309094144787</v>
      </c>
      <c r="N44" s="97">
        <v>1</v>
      </c>
    </row>
    <row r="45" spans="2:14" ht="15.75" thickBot="1">
      <c r="D45" t="s">
        <v>86</v>
      </c>
      <c r="H45" t="s">
        <v>87</v>
      </c>
      <c r="I45" s="7"/>
      <c r="J45" s="7"/>
      <c r="K45" s="7"/>
      <c r="L45" t="s">
        <v>88</v>
      </c>
    </row>
    <row r="46" spans="2:14">
      <c r="B46" t="s">
        <v>171</v>
      </c>
      <c r="C46" s="80" t="s">
        <v>55</v>
      </c>
      <c r="D46" s="17">
        <v>1.000491396775312E-2</v>
      </c>
      <c r="E46" s="18">
        <v>-1.6193705817984268E-6</v>
      </c>
      <c r="F46" s="19">
        <v>-2.412618706713837E-5</v>
      </c>
      <c r="G46" s="81"/>
      <c r="H46" s="77">
        <v>0.1000245668211221</v>
      </c>
      <c r="I46" s="82"/>
      <c r="J46" s="81"/>
      <c r="K46" s="81"/>
      <c r="L46" s="90">
        <v>1</v>
      </c>
      <c r="M46" s="91">
        <v>-1.6189906564469174E-4</v>
      </c>
      <c r="N46" s="92">
        <v>-2.4183885814667229E-3</v>
      </c>
    </row>
    <row r="47" spans="2:14">
      <c r="C47" s="84"/>
      <c r="D47" s="20">
        <v>-1.6193705817984268E-6</v>
      </c>
      <c r="E47" s="2">
        <v>9.9997800516637703E-3</v>
      </c>
      <c r="F47" s="21">
        <v>1.9229697642161869E-5</v>
      </c>
      <c r="G47" s="7"/>
      <c r="H47" s="77">
        <v>9.9998900252271622E-2</v>
      </c>
      <c r="I47" s="79"/>
      <c r="J47" s="7"/>
      <c r="K47" s="7"/>
      <c r="L47" s="93">
        <v>-1.6189906564469174E-4</v>
      </c>
      <c r="M47" s="37">
        <v>1</v>
      </c>
      <c r="N47" s="94">
        <v>1.9280633699820522E-3</v>
      </c>
    </row>
    <row r="48" spans="2:14" ht="15.75" thickBot="1">
      <c r="C48" s="85"/>
      <c r="D48" s="22">
        <v>-2.412618706713837E-5</v>
      </c>
      <c r="E48" s="23">
        <v>1.9229697642162737E-5</v>
      </c>
      <c r="F48" s="24">
        <v>9.9474520874975464E-3</v>
      </c>
      <c r="G48" s="53"/>
      <c r="H48" s="77">
        <v>9.9736914367236904E-2</v>
      </c>
      <c r="I48" s="66"/>
      <c r="J48" s="53"/>
      <c r="K48" s="53"/>
      <c r="L48" s="95">
        <v>-2.4183885814667229E-3</v>
      </c>
      <c r="M48" s="96">
        <v>1.9280633699821392E-3</v>
      </c>
      <c r="N48" s="97">
        <v>1</v>
      </c>
    </row>
    <row r="49" spans="2:18" ht="15.75" thickBot="1">
      <c r="C49" s="59"/>
      <c r="D49" t="s">
        <v>86</v>
      </c>
      <c r="H49" t="s">
        <v>87</v>
      </c>
      <c r="I49" s="7"/>
      <c r="J49" s="7"/>
      <c r="L49" t="s">
        <v>88</v>
      </c>
    </row>
    <row r="50" spans="2:18">
      <c r="B50" t="s">
        <v>172</v>
      </c>
      <c r="C50" s="80" t="s">
        <v>56</v>
      </c>
      <c r="D50" s="17">
        <v>0.74450777720172789</v>
      </c>
      <c r="E50" s="18">
        <v>0.18433789440453591</v>
      </c>
      <c r="F50" s="19">
        <v>-0.25436455539638075</v>
      </c>
      <c r="G50" s="81"/>
      <c r="H50" s="77">
        <v>0.86284864095722369</v>
      </c>
      <c r="I50" s="82"/>
      <c r="J50" s="81"/>
      <c r="K50" s="81"/>
      <c r="L50" s="90">
        <v>1</v>
      </c>
      <c r="M50" s="91">
        <v>0.41058645187989817</v>
      </c>
      <c r="N50" s="92">
        <v>-0.44798524330819706</v>
      </c>
    </row>
    <row r="51" spans="2:18">
      <c r="C51" s="84"/>
      <c r="D51" s="20">
        <v>0.18433789440453588</v>
      </c>
      <c r="E51" s="2">
        <v>0.27073897253609852</v>
      </c>
      <c r="F51" s="21">
        <v>-0.24899511899853805</v>
      </c>
      <c r="G51" s="7"/>
      <c r="H51" s="6">
        <v>0.52032583304704227</v>
      </c>
      <c r="I51" s="79"/>
      <c r="J51" s="7"/>
      <c r="K51" s="7"/>
      <c r="L51" s="93">
        <v>0.41058645187989812</v>
      </c>
      <c r="M51" s="37">
        <v>1</v>
      </c>
      <c r="N51" s="94">
        <v>-0.72720554100062729</v>
      </c>
    </row>
    <row r="52" spans="2:18" ht="15.75" thickBot="1">
      <c r="C52" s="85"/>
      <c r="D52" s="22">
        <v>-0.25436455539638075</v>
      </c>
      <c r="E52" s="23">
        <v>-0.24899511899853805</v>
      </c>
      <c r="F52" s="24">
        <v>0.43302855166317783</v>
      </c>
      <c r="G52" s="53"/>
      <c r="H52" s="78">
        <v>0.658049049587626</v>
      </c>
      <c r="I52" s="66"/>
      <c r="J52" s="53"/>
      <c r="K52" s="53"/>
      <c r="L52" s="95">
        <v>-0.44798524330819706</v>
      </c>
      <c r="M52" s="96">
        <v>-0.72720554100062729</v>
      </c>
      <c r="N52" s="97">
        <v>0.99999999999999989</v>
      </c>
    </row>
    <row r="53" spans="2:18" ht="15.75" thickBot="1">
      <c r="C53" s="59"/>
      <c r="D53" t="s">
        <v>86</v>
      </c>
      <c r="H53" t="s">
        <v>87</v>
      </c>
      <c r="I53" s="7"/>
      <c r="J53" s="7"/>
      <c r="L53" t="s">
        <v>88</v>
      </c>
    </row>
    <row r="54" spans="2:18">
      <c r="B54" t="s">
        <v>173</v>
      </c>
      <c r="C54" s="80" t="s">
        <v>57</v>
      </c>
      <c r="D54" s="17">
        <v>7.0045675608333663E-2</v>
      </c>
      <c r="E54" s="18">
        <v>1.4310316932540181E-2</v>
      </c>
      <c r="F54" s="19">
        <v>-1.9965297186723355E-2</v>
      </c>
      <c r="G54" s="81"/>
      <c r="H54" s="77">
        <v>0.26466143581627766</v>
      </c>
      <c r="I54" s="82"/>
      <c r="J54" s="81"/>
      <c r="K54" s="81"/>
      <c r="L54" s="37">
        <v>1</v>
      </c>
      <c r="M54" s="37">
        <v>0.1914821214915812</v>
      </c>
      <c r="N54" s="37">
        <v>-0.28507225825665811</v>
      </c>
    </row>
    <row r="55" spans="2:18">
      <c r="C55" s="84"/>
      <c r="D55" s="20">
        <v>1.4310316932540181E-2</v>
      </c>
      <c r="E55" s="2">
        <v>7.9737151112310445E-2</v>
      </c>
      <c r="F55" s="21">
        <v>1.4318606072126115E-2</v>
      </c>
      <c r="G55" s="7"/>
      <c r="H55" s="6">
        <v>0.28237767459965818</v>
      </c>
      <c r="I55" s="79"/>
      <c r="J55" s="7"/>
      <c r="K55" s="7"/>
      <c r="L55" s="63">
        <v>0.1914821214915812</v>
      </c>
      <c r="M55" s="63">
        <v>1</v>
      </c>
      <c r="N55" s="63">
        <v>0.1916197304382696</v>
      </c>
    </row>
    <row r="56" spans="2:18" ht="15.75" thickBot="1">
      <c r="C56" s="85"/>
      <c r="D56" s="22">
        <v>-1.9965297186723362E-2</v>
      </c>
      <c r="E56" s="23">
        <v>1.4318606072126122E-2</v>
      </c>
      <c r="F56" s="24">
        <v>7.0026160932907533E-2</v>
      </c>
      <c r="G56" s="53"/>
      <c r="H56" s="78">
        <v>0.26462456600419304</v>
      </c>
      <c r="I56" s="66"/>
      <c r="J56" s="53"/>
      <c r="K56" s="53"/>
      <c r="L56" s="64">
        <v>-0.28507225825665822</v>
      </c>
      <c r="M56" s="64">
        <v>0.19161973043826969</v>
      </c>
      <c r="N56" s="64">
        <v>1.0000000000000002</v>
      </c>
    </row>
    <row r="57" spans="2:18" ht="15.75" thickBot="1">
      <c r="C57" s="59"/>
      <c r="D57" t="s">
        <v>86</v>
      </c>
      <c r="H57" t="s">
        <v>87</v>
      </c>
      <c r="I57" s="7"/>
      <c r="J57" s="7"/>
      <c r="L57" t="s">
        <v>88</v>
      </c>
    </row>
    <row r="58" spans="2:18">
      <c r="C58" s="80" t="s">
        <v>37</v>
      </c>
      <c r="D58" s="17">
        <v>0.16612843608889327</v>
      </c>
      <c r="E58" s="18">
        <v>6.0387418268233836E-2</v>
      </c>
      <c r="F58" s="19">
        <v>-8.3355156708950037E-2</v>
      </c>
      <c r="G58" s="81"/>
      <c r="H58" s="77">
        <v>0.40758856226456264</v>
      </c>
      <c r="I58" s="82"/>
      <c r="J58" s="81"/>
      <c r="K58" s="81"/>
      <c r="L58" s="90">
        <v>1.0000000000000002</v>
      </c>
      <c r="M58" s="91">
        <v>0.56434632293636044</v>
      </c>
      <c r="N58" s="92">
        <v>-0.6643576928157735</v>
      </c>
    </row>
    <row r="59" spans="2:18">
      <c r="C59" s="79"/>
      <c r="D59" s="20">
        <v>6.0387418268233836E-2</v>
      </c>
      <c r="E59" s="2">
        <v>6.8921948875903208E-2</v>
      </c>
      <c r="F59" s="21">
        <v>-3.979591431556493E-2</v>
      </c>
      <c r="G59" s="7"/>
      <c r="H59" s="6">
        <v>0.26252990091778727</v>
      </c>
      <c r="I59" s="79"/>
      <c r="J59" s="7"/>
      <c r="K59" s="7"/>
      <c r="L59" s="93">
        <v>0.56434632293636044</v>
      </c>
      <c r="M59" s="37">
        <v>1</v>
      </c>
      <c r="N59" s="94">
        <v>-0.49243758943588101</v>
      </c>
    </row>
    <row r="60" spans="2:18" ht="15.75" thickBot="1">
      <c r="C60" s="66"/>
      <c r="D60" s="22">
        <v>-8.3355156708950037E-2</v>
      </c>
      <c r="E60" s="23">
        <v>-3.979591431556493E-2</v>
      </c>
      <c r="F60" s="24">
        <v>9.4758249994840948E-2</v>
      </c>
      <c r="G60" s="53"/>
      <c r="H60" s="78">
        <v>0.30782828004398971</v>
      </c>
      <c r="I60" s="66"/>
      <c r="J60" s="53"/>
      <c r="K60" s="53"/>
      <c r="L60" s="95">
        <v>-0.6643576928157735</v>
      </c>
      <c r="M60" s="96">
        <v>-0.49243758943588095</v>
      </c>
      <c r="N60" s="97">
        <v>1</v>
      </c>
    </row>
    <row r="61" spans="2:18" ht="47.25" customHeight="1"/>
    <row r="62" spans="2:18" ht="19.5" thickBot="1">
      <c r="C62" s="73" t="s">
        <v>99</v>
      </c>
    </row>
    <row r="63" spans="2:18">
      <c r="C63" s="115" t="s">
        <v>15</v>
      </c>
      <c r="D63" s="346" t="s">
        <v>13</v>
      </c>
      <c r="E63" s="346"/>
      <c r="F63" s="346"/>
      <c r="G63" s="116"/>
      <c r="H63" s="347" t="s">
        <v>12</v>
      </c>
      <c r="I63" s="347"/>
      <c r="J63" s="347"/>
      <c r="K63" s="116"/>
      <c r="L63" s="347" t="s">
        <v>11</v>
      </c>
      <c r="M63" s="347"/>
      <c r="N63" s="347"/>
      <c r="O63" s="116"/>
      <c r="P63" s="347" t="s">
        <v>10</v>
      </c>
      <c r="Q63" s="347"/>
      <c r="R63" s="348"/>
    </row>
    <row r="64" spans="2:18" ht="15.75" thickBot="1">
      <c r="C64" s="117"/>
      <c r="D64" s="114" t="s">
        <v>5</v>
      </c>
      <c r="E64" s="114" t="s">
        <v>4</v>
      </c>
      <c r="F64" s="114" t="s">
        <v>6</v>
      </c>
      <c r="G64" s="113"/>
      <c r="H64" s="114" t="s">
        <v>5</v>
      </c>
      <c r="I64" s="114" t="s">
        <v>4</v>
      </c>
      <c r="J64" s="114" t="s">
        <v>6</v>
      </c>
      <c r="K64" s="113"/>
      <c r="L64" s="114" t="s">
        <v>5</v>
      </c>
      <c r="M64" s="114" t="s">
        <v>4</v>
      </c>
      <c r="N64" s="114" t="s">
        <v>6</v>
      </c>
      <c r="O64" s="113"/>
      <c r="P64" s="114" t="s">
        <v>5</v>
      </c>
      <c r="Q64" s="114" t="s">
        <v>4</v>
      </c>
      <c r="R64" s="118" t="s">
        <v>6</v>
      </c>
    </row>
    <row r="65" spans="3:18" ht="15.75" thickTop="1">
      <c r="C65" s="69" t="s">
        <v>65</v>
      </c>
      <c r="D65" s="50">
        <v>-76.699000000000012</v>
      </c>
      <c r="E65" s="50">
        <v>-12.3889</v>
      </c>
      <c r="F65" s="50">
        <v>-7.7311999999999994</v>
      </c>
      <c r="G65" s="56"/>
      <c r="H65" s="50">
        <v>-76.697099999999992</v>
      </c>
      <c r="I65" s="50">
        <v>-12.392100000000001</v>
      </c>
      <c r="J65" s="50">
        <v>-7.7358000000000002</v>
      </c>
      <c r="K65" s="56"/>
      <c r="L65" s="50">
        <v>-76.695999999999998</v>
      </c>
      <c r="M65" s="50">
        <v>-12.393400000000002</v>
      </c>
      <c r="N65" s="50">
        <v>-7.7339000000000002</v>
      </c>
      <c r="O65" s="56"/>
      <c r="P65" s="50">
        <v>-76.694900000000004</v>
      </c>
      <c r="Q65" s="50">
        <v>-12.3934</v>
      </c>
      <c r="R65" s="51">
        <v>-7.7363</v>
      </c>
    </row>
    <row r="66" spans="3:18">
      <c r="C66" s="20" t="s">
        <v>29</v>
      </c>
      <c r="D66" s="14"/>
      <c r="E66" s="14"/>
      <c r="F66" s="14"/>
      <c r="G66" s="2"/>
      <c r="H66" s="14"/>
      <c r="I66" s="14"/>
      <c r="J66" s="14"/>
      <c r="K66" s="2"/>
      <c r="L66" s="14">
        <v>-24.057599999999994</v>
      </c>
      <c r="M66" s="14">
        <v>18.287600000000001</v>
      </c>
      <c r="N66" s="14">
        <v>-4.4864999999999995</v>
      </c>
      <c r="O66" s="2"/>
      <c r="P66" s="14">
        <v>-24.057400000000001</v>
      </c>
      <c r="Q66" s="14">
        <v>18.2865</v>
      </c>
      <c r="R66" s="28">
        <v>-4.4882999999999997</v>
      </c>
    </row>
    <row r="67" spans="3:18">
      <c r="C67" s="20" t="s">
        <v>30</v>
      </c>
      <c r="D67" s="14"/>
      <c r="E67" s="14"/>
      <c r="F67" s="14"/>
      <c r="G67" s="2"/>
      <c r="H67" s="14"/>
      <c r="I67" s="14"/>
      <c r="J67" s="14"/>
      <c r="K67" s="2"/>
      <c r="L67" s="14">
        <v>-59.561799999999991</v>
      </c>
      <c r="M67" s="14">
        <v>-217.83920000000001</v>
      </c>
      <c r="N67" s="14">
        <v>-20.469899999999999</v>
      </c>
      <c r="O67" s="2"/>
      <c r="P67" s="14">
        <v>-59.558800000000005</v>
      </c>
      <c r="Q67" s="14">
        <v>-217.8415</v>
      </c>
      <c r="R67" s="28">
        <v>-20.473300000000002</v>
      </c>
    </row>
    <row r="68" spans="3:18" ht="15.75" thickBot="1">
      <c r="C68" s="22" t="s">
        <v>31</v>
      </c>
      <c r="D68" s="29"/>
      <c r="E68" s="29"/>
      <c r="F68" s="29"/>
      <c r="G68" s="23"/>
      <c r="H68" s="29"/>
      <c r="I68" s="29"/>
      <c r="J68" s="29"/>
      <c r="K68" s="23"/>
      <c r="L68" s="29">
        <v>35.504199999999997</v>
      </c>
      <c r="M68" s="29">
        <v>236.1268</v>
      </c>
      <c r="N68" s="29">
        <v>15.9834</v>
      </c>
      <c r="O68" s="23"/>
      <c r="P68" s="29">
        <v>35.501400000000004</v>
      </c>
      <c r="Q68" s="29">
        <v>236.12799999999999</v>
      </c>
      <c r="R68" s="30">
        <v>15.984999999999999</v>
      </c>
    </row>
    <row r="70" spans="3:18" ht="15.75" thickBot="1">
      <c r="C70" t="s">
        <v>105</v>
      </c>
    </row>
    <row r="71" spans="3:18" ht="15.75" thickBot="1">
      <c r="C71" s="99"/>
      <c r="D71" s="103" t="s">
        <v>5</v>
      </c>
      <c r="E71" s="103" t="s">
        <v>4</v>
      </c>
      <c r="F71" s="104" t="s">
        <v>6</v>
      </c>
    </row>
    <row r="72" spans="3:18" ht="15.75" thickTop="1">
      <c r="C72" s="69" t="s">
        <v>65</v>
      </c>
      <c r="D72" s="15">
        <v>0.86862689986523045</v>
      </c>
      <c r="E72" s="15">
        <v>0.5298478579627951</v>
      </c>
      <c r="F72" s="102">
        <v>0.66556442494372803</v>
      </c>
    </row>
    <row r="73" spans="3:18">
      <c r="C73" s="20" t="s">
        <v>29</v>
      </c>
      <c r="D73" s="6">
        <v>1.5555224762673756</v>
      </c>
      <c r="E73" s="6">
        <v>0.92302641570225219</v>
      </c>
      <c r="F73" s="87">
        <v>1.1801552689289787</v>
      </c>
    </row>
    <row r="74" spans="3:18">
      <c r="C74" s="20" t="s">
        <v>30</v>
      </c>
      <c r="D74" s="6">
        <v>1.3210556659655162</v>
      </c>
      <c r="E74" s="6">
        <v>0.81300426976760631</v>
      </c>
      <c r="F74" s="87">
        <v>1.0147729145235203</v>
      </c>
    </row>
    <row r="75" spans="3:18" ht="15.75" thickBot="1">
      <c r="C75" s="22" t="s">
        <v>31</v>
      </c>
      <c r="D75" s="88">
        <v>0.90252615076243725</v>
      </c>
      <c r="E75" s="88">
        <v>0.59201023947935982</v>
      </c>
      <c r="F75" s="89">
        <v>0.70926350011549677</v>
      </c>
    </row>
  </sheetData>
  <mergeCells count="20">
    <mergeCell ref="D63:F63"/>
    <mergeCell ref="H63:J63"/>
    <mergeCell ref="L63:N63"/>
    <mergeCell ref="P63:R63"/>
    <mergeCell ref="D2:M2"/>
    <mergeCell ref="L25:Q31"/>
    <mergeCell ref="D25:F25"/>
    <mergeCell ref="H25:J25"/>
    <mergeCell ref="H17:J17"/>
    <mergeCell ref="D17:F17"/>
    <mergeCell ref="L17:N17"/>
    <mergeCell ref="P17:R17"/>
    <mergeCell ref="R16:T16"/>
    <mergeCell ref="C16:Q16"/>
    <mergeCell ref="F9:O9"/>
    <mergeCell ref="F10:O10"/>
    <mergeCell ref="F11:O11"/>
    <mergeCell ref="F12:O12"/>
    <mergeCell ref="F13:O13"/>
    <mergeCell ref="C5:Q5"/>
  </mergeCells>
  <pageMargins left="0.25" right="0.25" top="0.75" bottom="0.75" header="0.3" footer="0.3"/>
  <pageSetup paperSize="9" orientation="landscape" horizontalDpi="4294967294"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6658B-9CCA-4AE0-A6F4-AFC180D7F384}">
  <dimension ref="A1:CG91"/>
  <sheetViews>
    <sheetView topLeftCell="A13" zoomScale="90" zoomScaleNormal="90" workbookViewId="0">
      <selection activeCell="R37" sqref="R37"/>
    </sheetView>
  </sheetViews>
  <sheetFormatPr defaultRowHeight="15"/>
  <cols>
    <col min="2" max="2" width="12.5703125" customWidth="1"/>
    <col min="3" max="3" width="14.28515625" customWidth="1"/>
    <col min="4" max="5" width="3.85546875" customWidth="1"/>
    <col min="6" max="8" width="14.7109375" style="120" customWidth="1"/>
    <col min="9" max="9" width="9.140625" style="120"/>
    <col min="10" max="10" width="13.42578125" style="120" bestFit="1" customWidth="1"/>
    <col min="11" max="12" width="12.5703125" style="120" bestFit="1" customWidth="1"/>
    <col min="14" max="16" width="17.140625" customWidth="1"/>
    <col min="18" max="20" width="14.5703125" customWidth="1"/>
    <col min="22" max="25" width="14.5703125" customWidth="1"/>
    <col min="26" max="26" width="12" customWidth="1"/>
    <col min="27" max="28" width="14" customWidth="1"/>
    <col min="29" max="29" width="12.5703125" customWidth="1"/>
    <col min="30" max="30" width="10.140625" customWidth="1"/>
    <col min="31" max="32" width="12.140625" customWidth="1"/>
    <col min="33" max="34" width="10.140625" bestFit="1" customWidth="1"/>
    <col min="52" max="52" width="18.140625" customWidth="1"/>
    <col min="56" max="56" width="10.28515625" customWidth="1"/>
    <col min="57" max="59" width="8.28515625" customWidth="1"/>
    <col min="60" max="60" width="13.28515625" style="141" customWidth="1"/>
    <col min="61" max="62" width="13.28515625" customWidth="1"/>
    <col min="66" max="66" width="10.140625" customWidth="1"/>
    <col min="67" max="69" width="9.5703125" customWidth="1"/>
    <col min="70" max="70" width="6.7109375" customWidth="1"/>
    <col min="71" max="72" width="10.42578125" customWidth="1"/>
  </cols>
  <sheetData>
    <row r="1" spans="1:85">
      <c r="N1" t="s">
        <v>242</v>
      </c>
      <c r="R1" t="s">
        <v>235</v>
      </c>
      <c r="V1" s="3" t="s">
        <v>233</v>
      </c>
      <c r="W1" s="3"/>
      <c r="X1" s="3"/>
      <c r="Z1" s="3"/>
      <c r="AA1" s="3"/>
      <c r="AB1" s="3"/>
      <c r="BH1" s="196"/>
    </row>
    <row r="2" spans="1:85" ht="15.75" thickBot="1">
      <c r="B2" s="227" t="s">
        <v>224</v>
      </c>
      <c r="C2" s="2" t="s">
        <v>187</v>
      </c>
      <c r="D2" s="2"/>
      <c r="E2" s="6"/>
      <c r="F2" s="192" t="s">
        <v>22</v>
      </c>
      <c r="G2" s="192" t="s">
        <v>23</v>
      </c>
      <c r="H2" s="192" t="s">
        <v>24</v>
      </c>
      <c r="I2" s="201"/>
      <c r="J2" s="194" t="s">
        <v>228</v>
      </c>
      <c r="K2" s="201" t="s">
        <v>229</v>
      </c>
      <c r="L2" s="201" t="s">
        <v>230</v>
      </c>
      <c r="N2" s="16">
        <f>J3</f>
        <v>139.48808213000001</v>
      </c>
      <c r="O2" s="16">
        <f>K3</f>
        <v>35.710556609999998</v>
      </c>
      <c r="P2" s="16">
        <f>L3</f>
        <v>125.416</v>
      </c>
      <c r="R2" s="264"/>
      <c r="S2" s="264"/>
      <c r="V2" s="3">
        <f>J4</f>
        <v>139.48795343</v>
      </c>
      <c r="W2" s="3">
        <f>K4</f>
        <v>35.710188590000001</v>
      </c>
      <c r="X2" s="3">
        <f>L4</f>
        <v>114.25</v>
      </c>
      <c r="Z2" s="3" t="s">
        <v>216</v>
      </c>
      <c r="AA2" s="3"/>
      <c r="AB2" s="138" t="s">
        <v>217</v>
      </c>
      <c r="AC2" s="54" t="s">
        <v>218</v>
      </c>
      <c r="AD2" s="54"/>
      <c r="AE2" s="54" t="s">
        <v>217</v>
      </c>
      <c r="AF2" s="54" t="s">
        <v>218</v>
      </c>
      <c r="AH2" t="s">
        <v>223</v>
      </c>
      <c r="BH2" s="196"/>
    </row>
    <row r="3" spans="1:85">
      <c r="C3" s="2" t="s">
        <v>231</v>
      </c>
      <c r="D3" s="2"/>
      <c r="E3" s="6"/>
      <c r="F3" s="14">
        <v>-3941937.48</v>
      </c>
      <c r="G3" s="14">
        <v>3368150.977</v>
      </c>
      <c r="H3" s="14">
        <v>3702235.267</v>
      </c>
      <c r="I3" s="201"/>
      <c r="J3" s="262">
        <v>139.48808213000001</v>
      </c>
      <c r="K3" s="151">
        <v>35.710556609999998</v>
      </c>
      <c r="L3" s="151">
        <v>125.416</v>
      </c>
      <c r="N3" s="265">
        <f>-SIN(RADIANS(N2))</f>
        <v>-0.64960620333687913</v>
      </c>
      <c r="O3" s="266">
        <f>COS(RADIANS(N2))</f>
        <v>-0.76027086001388045</v>
      </c>
      <c r="P3" s="267">
        <v>0</v>
      </c>
      <c r="R3" s="265">
        <f>-SIN(RADIANS(R2))</f>
        <v>0</v>
      </c>
      <c r="S3" s="266">
        <f>COS(RADIANS(R2))</f>
        <v>1</v>
      </c>
      <c r="T3" s="267">
        <v>0</v>
      </c>
      <c r="V3" s="236">
        <f>-SIN(RADIANS(V2))</f>
        <v>-0.64960791108510452</v>
      </c>
      <c r="W3" s="237">
        <f>COS(RADIANS(V2))</f>
        <v>-0.76026940084133787</v>
      </c>
      <c r="X3" s="238">
        <v>0</v>
      </c>
      <c r="Z3" s="3"/>
      <c r="AA3" s="14" t="s">
        <v>181</v>
      </c>
      <c r="AB3" s="14">
        <v>16.399999999999999</v>
      </c>
      <c r="AC3" s="2">
        <v>-24.3</v>
      </c>
      <c r="AD3" s="2" t="s">
        <v>219</v>
      </c>
      <c r="AE3" s="273">
        <f>RADIANS(AB3/3600)</f>
        <v>7.9509443701963883E-5</v>
      </c>
      <c r="AF3" s="273">
        <f>RADIANS(AC3/3600)</f>
        <v>-1.1780972450961724E-4</v>
      </c>
      <c r="AG3" s="2" t="s">
        <v>220</v>
      </c>
      <c r="AH3" s="17">
        <v>1</v>
      </c>
      <c r="AI3" s="18">
        <v>0</v>
      </c>
      <c r="AJ3" s="254">
        <f>-AH5</f>
        <v>8.4357580513059246E-5</v>
      </c>
      <c r="BH3" s="196"/>
    </row>
    <row r="4" spans="1:85">
      <c r="B4" t="s">
        <v>232</v>
      </c>
      <c r="C4" s="2" t="s">
        <v>129</v>
      </c>
      <c r="D4" s="2"/>
      <c r="E4" s="2"/>
      <c r="F4" s="14">
        <v>-3941941.2121000001</v>
      </c>
      <c r="G4" s="14">
        <v>3368169.4876999999</v>
      </c>
      <c r="H4" s="14">
        <v>3702195.6669999999</v>
      </c>
      <c r="I4" s="131"/>
      <c r="J4" s="131">
        <v>139.48795343</v>
      </c>
      <c r="K4" s="131">
        <v>35.710188590000001</v>
      </c>
      <c r="L4" s="263">
        <v>114.25</v>
      </c>
      <c r="N4" s="268">
        <f>-COS(RADIANS(N2))*SIN(RADIANS(O2))</f>
        <v>0.44376312618404967</v>
      </c>
      <c r="O4" s="269">
        <f>-SIN(RADIANS(N2))*SIN(RADIANS(O2))</f>
        <v>-0.37916918133106126</v>
      </c>
      <c r="P4" s="270">
        <f>COS(RADIANS(O2))</f>
        <v>0.81197599703937806</v>
      </c>
      <c r="R4" s="268">
        <f>-COS(RADIANS(R2))*SIN(RADIANS(S2))</f>
        <v>0</v>
      </c>
      <c r="S4" s="269">
        <f>-SIN(RADIANS(R2))*SIN(RADIANS(S2))</f>
        <v>0</v>
      </c>
      <c r="T4" s="270">
        <f>COS(RADIANS(S2))</f>
        <v>1</v>
      </c>
      <c r="V4" s="239">
        <f>-COS(RADIANS(V2))*SIN(RADIANS(W2))</f>
        <v>0.44375830932045551</v>
      </c>
      <c r="W4" s="240">
        <f>-SIN(RADIANS(V2))*SIN(RADIANS(W2))</f>
        <v>-0.37916679012112203</v>
      </c>
      <c r="X4" s="241">
        <f>COS(RADIANS(W2))</f>
        <v>0.81197974616260959</v>
      </c>
      <c r="Z4" s="3"/>
      <c r="AA4" s="209" t="s">
        <v>187</v>
      </c>
      <c r="AB4" s="14">
        <v>11.4</v>
      </c>
      <c r="AC4" s="2">
        <v>-17.399999999999999</v>
      </c>
      <c r="AD4" s="2" t="s">
        <v>219</v>
      </c>
      <c r="AE4" s="295">
        <f t="shared" ref="AE4:AE6" si="0">RADIANS(AB4/3600)</f>
        <v>5.5268759646487099E-5</v>
      </c>
      <c r="AF4" s="295">
        <f t="shared" ref="AF4:AF6" si="1">RADIANS(AC4/3600)</f>
        <v>-8.4357580513059246E-5</v>
      </c>
      <c r="AG4" s="2" t="s">
        <v>220</v>
      </c>
      <c r="AH4" s="20">
        <v>0</v>
      </c>
      <c r="AI4" s="2">
        <v>1</v>
      </c>
      <c r="AJ4" s="255">
        <f>-AI5</f>
        <v>-5.5268759646487099E-5</v>
      </c>
      <c r="BH4" s="196"/>
    </row>
    <row r="5" spans="1:85" ht="15.75" thickBot="1">
      <c r="N5" s="222">
        <f>COS(RADIANS(N2))*COS(RADIANS(O2))</f>
        <v>-0.61732168957975597</v>
      </c>
      <c r="O5" s="271">
        <f>SIN(RADIANS(N2))*COS(RADIANS(O2))</f>
        <v>0.52746464463742737</v>
      </c>
      <c r="P5" s="272">
        <f>SIN(RADIANS(O2))</f>
        <v>0.58369082589321886</v>
      </c>
      <c r="R5" s="222">
        <f>COS(RADIANS(R2))*COS(RADIANS(S2))</f>
        <v>1</v>
      </c>
      <c r="S5" s="271">
        <f>SIN(RADIANS(R2))*COS(RADIANS(S2))</f>
        <v>0</v>
      </c>
      <c r="T5" s="272">
        <f>SIN(RADIANS(S2))</f>
        <v>0</v>
      </c>
      <c r="V5" s="242">
        <f>COS(RADIANS(V2))*COS(RADIANS(W2))</f>
        <v>-0.61732335511034886</v>
      </c>
      <c r="W5" s="243">
        <f>SIN(RADIANS(V2))*COS(RADIANS(W2))</f>
        <v>0.52746846674810621</v>
      </c>
      <c r="X5" s="244">
        <f>SIN(RADIANS(W2))</f>
        <v>0.58368561042885414</v>
      </c>
      <c r="Z5" s="3"/>
      <c r="AA5" s="14" t="s">
        <v>221</v>
      </c>
      <c r="AB5" s="14">
        <v>-1.9</v>
      </c>
      <c r="AC5" s="2">
        <v>-9.3000000000000007</v>
      </c>
      <c r="AD5" s="2" t="s">
        <v>219</v>
      </c>
      <c r="AE5" s="273">
        <f t="shared" si="0"/>
        <v>-9.2114599410811831E-6</v>
      </c>
      <c r="AF5" s="273">
        <f t="shared" si="1"/>
        <v>-4.5087672343186846E-5</v>
      </c>
      <c r="AG5" s="2" t="s">
        <v>220</v>
      </c>
      <c r="AH5" s="252">
        <f>AF4</f>
        <v>-8.4357580513059246E-5</v>
      </c>
      <c r="AI5" s="253">
        <f>AE4</f>
        <v>5.5268759646487099E-5</v>
      </c>
      <c r="AJ5" s="24">
        <v>1</v>
      </c>
      <c r="BH5" s="196"/>
    </row>
    <row r="6" spans="1:85">
      <c r="Q6" t="s">
        <v>213</v>
      </c>
      <c r="U6" t="s">
        <v>181</v>
      </c>
      <c r="V6" s="3"/>
      <c r="W6" s="3"/>
      <c r="X6" s="3"/>
      <c r="Z6" s="3"/>
      <c r="AA6" s="14" t="s">
        <v>222</v>
      </c>
      <c r="AB6" s="14">
        <v>-4.5</v>
      </c>
      <c r="AC6" s="2">
        <v>13.6</v>
      </c>
      <c r="AD6" s="2" t="s">
        <v>219</v>
      </c>
      <c r="AE6" s="273">
        <f t="shared" si="0"/>
        <v>-2.1816615649929121E-5</v>
      </c>
      <c r="AF6" s="273">
        <f t="shared" si="1"/>
        <v>6.5934660630896893E-5</v>
      </c>
      <c r="AG6" s="2" t="s">
        <v>220</v>
      </c>
      <c r="BH6" s="196"/>
    </row>
    <row r="7" spans="1:85">
      <c r="N7" s="145">
        <v>36526</v>
      </c>
    </row>
    <row r="8" spans="1:85" ht="16.5" thickBot="1">
      <c r="A8" s="9"/>
      <c r="B8" s="234" t="s">
        <v>209</v>
      </c>
      <c r="F8" s="3"/>
      <c r="G8" s="130"/>
      <c r="H8" s="130"/>
      <c r="K8"/>
      <c r="L8"/>
      <c r="W8" s="3"/>
      <c r="X8" s="3"/>
      <c r="Z8" s="3" t="s">
        <v>225</v>
      </c>
      <c r="AL8" s="3" t="s">
        <v>225</v>
      </c>
      <c r="AM8" t="s">
        <v>210</v>
      </c>
      <c r="AS8" s="3" t="s">
        <v>225</v>
      </c>
      <c r="AT8" t="s">
        <v>210</v>
      </c>
      <c r="BD8" t="s">
        <v>211</v>
      </c>
      <c r="BE8" t="s">
        <v>212</v>
      </c>
      <c r="BH8"/>
    </row>
    <row r="9" spans="1:85">
      <c r="A9" s="194" t="s">
        <v>207</v>
      </c>
      <c r="B9" s="232" t="s">
        <v>169</v>
      </c>
      <c r="C9" s="2"/>
      <c r="D9" s="2"/>
      <c r="E9" s="2"/>
      <c r="F9" s="316" t="s">
        <v>9</v>
      </c>
      <c r="G9" s="316"/>
      <c r="H9" s="316"/>
      <c r="I9" s="2"/>
      <c r="J9" s="316" t="s">
        <v>10</v>
      </c>
      <c r="K9" s="316"/>
      <c r="L9" s="316"/>
      <c r="M9" s="131"/>
      <c r="N9" s="316" t="s">
        <v>11</v>
      </c>
      <c r="O9" s="316"/>
      <c r="P9" s="316"/>
      <c r="Q9" s="2"/>
      <c r="R9" s="316" t="s">
        <v>12</v>
      </c>
      <c r="S9" s="316"/>
      <c r="T9" s="316"/>
      <c r="U9" s="2"/>
      <c r="V9" s="316" t="s">
        <v>13</v>
      </c>
      <c r="W9" s="316"/>
      <c r="X9" s="316"/>
      <c r="Z9" s="317" t="s">
        <v>9</v>
      </c>
      <c r="AA9" s="318"/>
      <c r="AB9" s="318"/>
      <c r="AC9" s="245"/>
      <c r="AD9" s="317" t="s">
        <v>10</v>
      </c>
      <c r="AE9" s="318"/>
      <c r="AF9" s="318"/>
      <c r="AG9" s="245"/>
      <c r="AH9" s="318" t="s">
        <v>11</v>
      </c>
      <c r="AI9" s="318"/>
      <c r="AJ9" s="318"/>
      <c r="AK9" s="18"/>
      <c r="AL9" s="318" t="s">
        <v>12</v>
      </c>
      <c r="AM9" s="318"/>
      <c r="AN9" s="318"/>
      <c r="AO9" s="18"/>
      <c r="AP9" s="318" t="s">
        <v>13</v>
      </c>
      <c r="AQ9" s="318"/>
      <c r="AR9" s="319"/>
      <c r="AS9" s="256"/>
      <c r="AT9" s="317" t="s">
        <v>9</v>
      </c>
      <c r="AU9" s="318"/>
      <c r="AV9" s="318"/>
      <c r="AW9" s="317" t="s">
        <v>10</v>
      </c>
      <c r="AX9" s="318"/>
      <c r="AY9" s="318"/>
      <c r="AZ9" s="245"/>
      <c r="BA9" s="318" t="s">
        <v>11</v>
      </c>
      <c r="BB9" s="318"/>
      <c r="BC9" s="318"/>
      <c r="BD9" s="18"/>
      <c r="BE9" s="318" t="s">
        <v>12</v>
      </c>
      <c r="BF9" s="318"/>
      <c r="BG9" s="318"/>
      <c r="BH9" s="18"/>
      <c r="BI9" s="318" t="s">
        <v>13</v>
      </c>
      <c r="BJ9" s="318"/>
      <c r="BK9" s="319"/>
      <c r="BO9" s="316" t="s">
        <v>9</v>
      </c>
      <c r="BP9" s="316"/>
      <c r="BQ9" s="316"/>
      <c r="BR9" s="197"/>
      <c r="BS9" s="316" t="s">
        <v>10</v>
      </c>
      <c r="BT9" s="316"/>
      <c r="BU9" s="316"/>
      <c r="BV9" s="131"/>
      <c r="BW9" s="316" t="s">
        <v>11</v>
      </c>
      <c r="BX9" s="316"/>
      <c r="BY9" s="316"/>
      <c r="BZ9" s="2"/>
      <c r="CA9" s="316" t="s">
        <v>12</v>
      </c>
      <c r="CB9" s="316"/>
      <c r="CC9" s="316"/>
      <c r="CD9" s="2"/>
      <c r="CE9" s="316" t="s">
        <v>13</v>
      </c>
      <c r="CF9" s="316"/>
      <c r="CG9" s="316"/>
    </row>
    <row r="10" spans="1:85">
      <c r="A10" s="194"/>
      <c r="B10" s="233"/>
      <c r="C10" s="2"/>
      <c r="D10" s="2"/>
      <c r="E10" s="2"/>
      <c r="F10" s="151" t="s">
        <v>4</v>
      </c>
      <c r="G10" s="152" t="s">
        <v>5</v>
      </c>
      <c r="H10" s="152" t="s">
        <v>6</v>
      </c>
      <c r="I10" s="2"/>
      <c r="J10" s="151" t="s">
        <v>4</v>
      </c>
      <c r="K10" s="152" t="s">
        <v>5</v>
      </c>
      <c r="L10" s="152" t="s">
        <v>6</v>
      </c>
      <c r="M10" s="131"/>
      <c r="N10" s="151" t="s">
        <v>4</v>
      </c>
      <c r="O10" s="152" t="s">
        <v>5</v>
      </c>
      <c r="P10" s="152" t="s">
        <v>6</v>
      </c>
      <c r="Q10" s="2"/>
      <c r="R10" s="151" t="s">
        <v>4</v>
      </c>
      <c r="S10" s="152" t="s">
        <v>5</v>
      </c>
      <c r="T10" s="152" t="s">
        <v>6</v>
      </c>
      <c r="U10" s="2"/>
      <c r="V10" s="151" t="s">
        <v>4</v>
      </c>
      <c r="W10" s="152" t="s">
        <v>5</v>
      </c>
      <c r="X10" s="152" t="s">
        <v>6</v>
      </c>
      <c r="Z10" s="246" t="s">
        <v>5</v>
      </c>
      <c r="AA10" s="152" t="s">
        <v>4</v>
      </c>
      <c r="AB10" s="152" t="s">
        <v>6</v>
      </c>
      <c r="AC10" s="2"/>
      <c r="AD10" s="246" t="s">
        <v>5</v>
      </c>
      <c r="AE10" s="152" t="s">
        <v>4</v>
      </c>
      <c r="AF10" s="152" t="s">
        <v>6</v>
      </c>
      <c r="AG10" s="2"/>
      <c r="AH10" s="151" t="s">
        <v>5</v>
      </c>
      <c r="AI10" s="152" t="s">
        <v>4</v>
      </c>
      <c r="AJ10" s="152" t="s">
        <v>6</v>
      </c>
      <c r="AK10" s="2"/>
      <c r="AL10" s="151" t="s">
        <v>5</v>
      </c>
      <c r="AM10" s="152" t="s">
        <v>4</v>
      </c>
      <c r="AN10" s="152" t="s">
        <v>6</v>
      </c>
      <c r="AO10" s="2"/>
      <c r="AP10" s="151" t="s">
        <v>5</v>
      </c>
      <c r="AQ10" s="152" t="s">
        <v>4</v>
      </c>
      <c r="AR10" s="247" t="s">
        <v>6</v>
      </c>
      <c r="AS10" s="257"/>
      <c r="AT10" s="246" t="s">
        <v>22</v>
      </c>
      <c r="AU10" s="152" t="s">
        <v>23</v>
      </c>
      <c r="AV10" s="152" t="s">
        <v>24</v>
      </c>
      <c r="AW10" s="246" t="s">
        <v>22</v>
      </c>
      <c r="AX10" s="152" t="s">
        <v>23</v>
      </c>
      <c r="AY10" s="152" t="s">
        <v>24</v>
      </c>
      <c r="AZ10" s="131"/>
      <c r="BA10" s="151" t="s">
        <v>22</v>
      </c>
      <c r="BB10" s="152" t="s">
        <v>23</v>
      </c>
      <c r="BC10" s="152" t="s">
        <v>24</v>
      </c>
      <c r="BD10" s="2"/>
      <c r="BE10" s="151" t="s">
        <v>22</v>
      </c>
      <c r="BF10" s="152" t="s">
        <v>23</v>
      </c>
      <c r="BG10" s="152" t="s">
        <v>24</v>
      </c>
      <c r="BH10" s="2"/>
      <c r="BI10" s="151" t="s">
        <v>22</v>
      </c>
      <c r="BJ10" s="152" t="s">
        <v>23</v>
      </c>
      <c r="BK10" s="247" t="s">
        <v>24</v>
      </c>
      <c r="BO10" s="151" t="s">
        <v>5</v>
      </c>
      <c r="BP10" s="152" t="s">
        <v>4</v>
      </c>
      <c r="BQ10" s="152" t="s">
        <v>6</v>
      </c>
      <c r="BR10" s="152"/>
      <c r="BS10" s="151" t="s">
        <v>5</v>
      </c>
      <c r="BT10" s="152" t="s">
        <v>4</v>
      </c>
      <c r="BU10" s="152" t="s">
        <v>6</v>
      </c>
      <c r="BV10" s="2"/>
      <c r="BW10" s="2"/>
      <c r="BX10" s="2"/>
      <c r="BY10" s="2"/>
      <c r="BZ10" s="2"/>
      <c r="CA10" s="2"/>
      <c r="CB10" s="2"/>
      <c r="CC10" s="2"/>
      <c r="CD10" s="2"/>
      <c r="CE10" s="2"/>
      <c r="CF10" s="2"/>
      <c r="CG10" s="2"/>
    </row>
    <row r="11" spans="1:85">
      <c r="A11" s="194" t="s">
        <v>195</v>
      </c>
      <c r="B11" s="233"/>
      <c r="C11" s="14" t="s">
        <v>32</v>
      </c>
      <c r="D11" s="2"/>
      <c r="E11" s="2"/>
      <c r="F11" s="2">
        <v>5.8449</v>
      </c>
      <c r="G11" s="2">
        <v>-18.790900000000001</v>
      </c>
      <c r="H11" s="2">
        <v>8.9842999999999993</v>
      </c>
      <c r="I11" s="2"/>
      <c r="J11" s="14">
        <v>5.8449999999999998</v>
      </c>
      <c r="K11" s="124">
        <v>-18.7911</v>
      </c>
      <c r="L11" s="124">
        <v>8.9847999999999999</v>
      </c>
      <c r="M11" s="124"/>
      <c r="N11" s="124">
        <v>5.8465999999999996</v>
      </c>
      <c r="O11" s="14">
        <v>-18.7896</v>
      </c>
      <c r="P11" s="14">
        <v>8.9867000000000008</v>
      </c>
      <c r="Q11" s="14"/>
      <c r="R11" s="14">
        <v>5.8445999999999998</v>
      </c>
      <c r="S11" s="14">
        <v>-18.791399999999999</v>
      </c>
      <c r="T11" s="14">
        <v>8.9831000000000003</v>
      </c>
      <c r="U11" s="14"/>
      <c r="V11" s="14">
        <v>5.8461999999999996</v>
      </c>
      <c r="W11" s="14">
        <v>-18.793800000000001</v>
      </c>
      <c r="X11" s="14">
        <v>8.9702999999999999</v>
      </c>
      <c r="Z11" s="27">
        <f t="array" ref="Z11:AB11">MMULT(BO11:BQ11,TRANSPOSE($AH$3:$AJ$5))</f>
        <v>-18.790142106189396</v>
      </c>
      <c r="AA11" s="14">
        <v>5.8444034488827077</v>
      </c>
      <c r="AB11" s="14">
        <v>8.9862081952329191</v>
      </c>
      <c r="AC11" s="2"/>
      <c r="AD11" s="27">
        <f t="array" ref="AD11:AF11">MMULT(BS11:BU11,TRANSPOSE($AH$3:$AJ$5))</f>
        <v>-18.790342064010606</v>
      </c>
      <c r="AE11" s="14">
        <v>5.8445034212483282</v>
      </c>
      <c r="AF11" s="14">
        <v>8.9867082176313122</v>
      </c>
      <c r="AG11" s="2"/>
      <c r="AH11" s="2">
        <f t="array" ref="AH11:AJ11">MMULT(BW11:BY11,TRANSPOSE($AH$3:$AJ$5))</f>
        <v>-18.788841903731203</v>
      </c>
      <c r="AI11" s="2">
        <v>5.8461033162376843</v>
      </c>
      <c r="AJ11" s="2">
        <v>8.9886081795249577</v>
      </c>
      <c r="AK11" s="2"/>
      <c r="AL11" s="2">
        <f t="array" ref="AL11:AN11">MMULT(CA11:CC11,TRANSPOSE($AH$3:$AJ$5))</f>
        <v>-18.790642207418493</v>
      </c>
      <c r="AM11" s="2">
        <v>5.8441035152052194</v>
      </c>
      <c r="AN11" s="2">
        <v>8.9850082208310837</v>
      </c>
      <c r="AO11" s="2"/>
      <c r="AP11" s="2">
        <f t="array" ref="AP11:AR11">MMULT(CE11:CG11,TRANSPOSE($AH$3:$AJ$5))</f>
        <v>-18.793043287195523</v>
      </c>
      <c r="AQ11" s="2">
        <v>5.8457042226453426</v>
      </c>
      <c r="AR11" s="21">
        <v>8.9722085117192911</v>
      </c>
      <c r="AT11" s="27">
        <f t="array" ref="AT11:AV11">MMULT(Z11:AB11,$V$3:$X$5)</f>
        <v>9.2523313632554931</v>
      </c>
      <c r="AU11" s="124">
        <v>16.80950784352931</v>
      </c>
      <c r="AV11" s="124">
        <v>9.990657644770959</v>
      </c>
      <c r="AW11" s="27">
        <f t="array" ref="AW11:AY11">MMULT(AD11:AF11,$V$3:$X$5)</f>
        <v>9.2521969455013728</v>
      </c>
      <c r="AX11" s="124">
        <v>16.809885705189082</v>
      </c>
      <c r="AY11" s="124">
        <v>9.9910306761858525</v>
      </c>
      <c r="AZ11" s="131"/>
      <c r="BA11" s="27">
        <f t="array" ref="BA11:BC11">MMULT(AH11:AJ11,$V$3:$X$5)</f>
        <v>9.2507595053607758</v>
      </c>
      <c r="BB11" s="124">
        <v>16.80914072217157</v>
      </c>
      <c r="BC11" s="124">
        <v>9.9934387389308803</v>
      </c>
      <c r="BD11" s="2"/>
      <c r="BE11" s="27">
        <f t="array" ref="BE11:BG11">MMULT(AL11:AN11,$V$3:$X$5)</f>
        <v>9.2532639071324105</v>
      </c>
      <c r="BF11" s="124">
        <v>16.809368831422987</v>
      </c>
      <c r="BG11" s="124">
        <v>9.9897136969084137</v>
      </c>
      <c r="BH11" s="2"/>
      <c r="BI11" s="27">
        <f t="array" ref="BI11:BK11">MMULT(AP11:AR11,$V$3:$X$5)</f>
        <v>9.2634355541513926</v>
      </c>
      <c r="BJ11" s="124">
        <v>16.803835920864426</v>
      </c>
      <c r="BK11" s="124">
        <v>9.9835424329030964</v>
      </c>
      <c r="BO11" s="14">
        <f>G11</f>
        <v>-18.790900000000001</v>
      </c>
      <c r="BP11" s="14">
        <f>F11</f>
        <v>5.8449</v>
      </c>
      <c r="BQ11" s="14">
        <f>H11</f>
        <v>8.9842999999999993</v>
      </c>
      <c r="BR11" s="14"/>
      <c r="BS11" s="14">
        <f>K11</f>
        <v>-18.7911</v>
      </c>
      <c r="BT11" s="14">
        <f>J11</f>
        <v>5.8449999999999998</v>
      </c>
      <c r="BU11" s="14">
        <f>L11</f>
        <v>8.9847999999999999</v>
      </c>
      <c r="BV11" s="2"/>
      <c r="BW11" s="14">
        <f>O11</f>
        <v>-18.7896</v>
      </c>
      <c r="BX11" s="14">
        <f>N11</f>
        <v>5.8465999999999996</v>
      </c>
      <c r="BY11" s="14">
        <f>P11</f>
        <v>8.9867000000000008</v>
      </c>
      <c r="BZ11" s="2"/>
      <c r="CA11" s="14">
        <f>S11</f>
        <v>-18.791399999999999</v>
      </c>
      <c r="CB11" s="14">
        <f>R11</f>
        <v>5.8445999999999998</v>
      </c>
      <c r="CC11" s="14">
        <f>T11</f>
        <v>8.9831000000000003</v>
      </c>
      <c r="CD11" s="2"/>
      <c r="CE11" s="14">
        <f>W11</f>
        <v>-18.793800000000001</v>
      </c>
      <c r="CF11" s="14">
        <f>V11</f>
        <v>5.8461999999999996</v>
      </c>
      <c r="CG11" s="14">
        <f>X11</f>
        <v>8.9702999999999999</v>
      </c>
    </row>
    <row r="12" spans="1:85">
      <c r="A12" s="194"/>
      <c r="B12" s="233"/>
      <c r="C12" s="14"/>
      <c r="D12" s="2"/>
      <c r="E12" s="2"/>
      <c r="F12" s="2"/>
      <c r="G12" s="2"/>
      <c r="H12" s="2"/>
      <c r="I12" s="2"/>
      <c r="J12" s="14"/>
      <c r="K12" s="124"/>
      <c r="L12" s="124"/>
      <c r="M12" s="124"/>
      <c r="N12" s="124"/>
      <c r="O12" s="14"/>
      <c r="P12" s="14"/>
      <c r="Q12" s="14"/>
      <c r="R12" s="14"/>
      <c r="S12" s="14"/>
      <c r="T12" s="14"/>
      <c r="U12" s="14"/>
      <c r="V12" s="14"/>
      <c r="W12" s="14"/>
      <c r="X12" s="14"/>
      <c r="Z12" s="27"/>
      <c r="AA12" s="14"/>
      <c r="AB12" s="14"/>
      <c r="AC12" s="2"/>
      <c r="AD12" s="27"/>
      <c r="AE12" s="14"/>
      <c r="AF12" s="14"/>
      <c r="AG12" s="2"/>
      <c r="AH12" s="2"/>
      <c r="AI12" s="2"/>
      <c r="AJ12" s="2"/>
      <c r="AK12" s="2"/>
      <c r="AL12" s="2"/>
      <c r="AM12" s="2"/>
      <c r="AN12" s="2"/>
      <c r="AO12" s="2"/>
      <c r="AP12" s="2"/>
      <c r="AQ12" s="2"/>
      <c r="AR12" s="21"/>
      <c r="AT12" s="20"/>
      <c r="AU12" s="2"/>
      <c r="AV12" s="2"/>
      <c r="AW12" s="20"/>
      <c r="AX12" s="2"/>
      <c r="AY12" s="2"/>
      <c r="AZ12" s="2"/>
      <c r="BA12" s="2"/>
      <c r="BB12" s="2"/>
      <c r="BC12" s="2"/>
      <c r="BD12" s="2"/>
      <c r="BE12" s="2"/>
      <c r="BF12" s="2"/>
      <c r="BG12" s="2"/>
      <c r="BH12" s="2"/>
      <c r="BI12" s="2"/>
      <c r="BJ12" s="2"/>
      <c r="BK12" s="21"/>
      <c r="BO12" s="2"/>
      <c r="BP12" s="2"/>
      <c r="BQ12" s="2"/>
      <c r="BR12" s="2"/>
      <c r="BS12" s="2"/>
      <c r="BT12" s="2"/>
      <c r="BU12" s="2"/>
      <c r="BV12" s="2"/>
      <c r="BW12" s="2"/>
      <c r="BX12" s="2"/>
      <c r="BY12" s="2"/>
      <c r="BZ12" s="2"/>
      <c r="CA12" s="2"/>
      <c r="CB12" s="2"/>
      <c r="CC12" s="2"/>
      <c r="CD12" s="2"/>
      <c r="CE12" s="2"/>
      <c r="CF12" s="2"/>
      <c r="CG12" s="2"/>
    </row>
    <row r="13" spans="1:85">
      <c r="A13" s="194">
        <v>7328</v>
      </c>
      <c r="B13" s="233" t="s">
        <v>202</v>
      </c>
      <c r="C13" s="14" t="s">
        <v>139</v>
      </c>
      <c r="D13" s="2"/>
      <c r="E13" s="2"/>
      <c r="F13" s="2">
        <v>-3.7029000000000001</v>
      </c>
      <c r="G13" s="2">
        <v>-47.8917</v>
      </c>
      <c r="H13" s="2">
        <v>1.8000000000000001E-4</v>
      </c>
      <c r="I13" s="2"/>
      <c r="J13" s="14">
        <v>-3.7014</v>
      </c>
      <c r="K13" s="124">
        <v>-47.889699999999998</v>
      </c>
      <c r="L13" s="124">
        <v>-1.5E-3</v>
      </c>
      <c r="M13" s="124"/>
      <c r="N13" s="124">
        <v>-3.6968000000000001</v>
      </c>
      <c r="O13" s="14">
        <v>-47.891500000000001</v>
      </c>
      <c r="P13" s="14">
        <v>-1.6999999999999999E-3</v>
      </c>
      <c r="Q13" s="14"/>
      <c r="R13" s="14">
        <v>-3.6968000000000001</v>
      </c>
      <c r="S13" s="14">
        <v>-47.8917</v>
      </c>
      <c r="T13" s="14">
        <v>-1.6000000000000001E-4</v>
      </c>
      <c r="U13" s="14"/>
      <c r="V13" s="14">
        <v>-3.6947999999999999</v>
      </c>
      <c r="W13" s="14">
        <v>-47.895200000000003</v>
      </c>
      <c r="X13" s="14">
        <v>-1.2999999999999999E-3</v>
      </c>
      <c r="Z13" s="27">
        <f t="array" ref="Z13:AB13">MMULT(BO13:BQ13,TRANSPOSE($AH$3:$AJ$5))</f>
        <v>-47.891699984815638</v>
      </c>
      <c r="AA13" s="14">
        <v>-3.7029000099483769</v>
      </c>
      <c r="AB13" s="14">
        <v>4.0153732485623018E-3</v>
      </c>
      <c r="AC13" s="2"/>
      <c r="AD13" s="27">
        <f t="array" ref="AD13:AF13">MMULT(BS13:BU13,TRANSPOSE($AH$3:$AJ$5))</f>
        <v>-47.889700126536368</v>
      </c>
      <c r="AE13" s="14">
        <v>-3.7013999170968606</v>
      </c>
      <c r="AF13" s="14">
        <v>2.335287436540746E-3</v>
      </c>
      <c r="AG13" s="2"/>
      <c r="AH13" s="14">
        <f t="array" ref="AH13:AJ13">MMULT(BW13:BY13,TRANSPOSE($AH$3:$AJ$5))</f>
        <v>-47.891500143407889</v>
      </c>
      <c r="AI13" s="14">
        <v>-3.6967999060431085</v>
      </c>
      <c r="AJ13" s="14">
        <v>2.1356935164800438E-3</v>
      </c>
      <c r="AK13" s="2"/>
      <c r="AL13" s="14">
        <f t="array" ref="AL13:AN13">MMULT(CA13:CC13,TRANSPOSE($AH$3:$AJ$5))</f>
        <v>-47.891700013497214</v>
      </c>
      <c r="AM13" s="14">
        <v>-3.6967999911569986</v>
      </c>
      <c r="AN13" s="14">
        <v>3.6757103879961461E-3</v>
      </c>
      <c r="AO13" s="2"/>
      <c r="AP13" s="14">
        <f t="array" ref="AP13:AR13">MMULT(CE13:CG13,TRANSPOSE($AH$3:$AJ$5))</f>
        <v>-47.895200109664856</v>
      </c>
      <c r="AQ13" s="14">
        <v>-3.6947999281506125</v>
      </c>
      <c r="AR13" s="28">
        <v>2.5361161770472351E-3</v>
      </c>
      <c r="AS13" s="3"/>
      <c r="AT13" s="27">
        <f t="array" ref="AT13:AV13">MMULT(Z13:AB13,$V$3:$X$5)</f>
        <v>29.465155753767405</v>
      </c>
      <c r="AU13" s="124">
        <v>37.816728746411336</v>
      </c>
      <c r="AV13" s="124">
        <v>-3.0043360945577207</v>
      </c>
      <c r="AW13" s="27">
        <f t="array" ref="AW13:AY13">MMULT(AD13:AF13,$V$3:$X$5)</f>
        <v>29.465559464886109</v>
      </c>
      <c r="AX13" s="124">
        <v>37.813753337676914</v>
      </c>
      <c r="AY13" s="124">
        <v>-3.0040986914576888</v>
      </c>
      <c r="AZ13" s="2"/>
      <c r="BA13" s="27">
        <f t="array" ref="BA13:BC13">MMULT(AH13:AJ13,$V$3:$X$5)</f>
        <v>29.46889327720239</v>
      </c>
      <c r="BB13" s="124">
        <v>37.813272384500578</v>
      </c>
      <c r="BC13" s="124">
        <v>-3.0004800757489867</v>
      </c>
      <c r="BD13" s="2"/>
      <c r="BE13" s="27">
        <f t="array" ref="BE13:BG13">MMULT(AL13:AN13,$V$3:$X$5)</f>
        <v>29.468072388241563</v>
      </c>
      <c r="BF13" s="124">
        <v>37.814236682223978</v>
      </c>
      <c r="BG13" s="124">
        <v>-2.9995812591720199</v>
      </c>
      <c r="BH13" s="2"/>
      <c r="BI13" s="27">
        <f t="array" ref="BI13:BK13">MMULT(AP13:AR13,$V$3:$X$5)</f>
        <v>29.471937121101636</v>
      </c>
      <c r="BJ13" s="124">
        <v>37.815538240758897</v>
      </c>
      <c r="BK13" s="124">
        <v>-2.9986224132624439</v>
      </c>
      <c r="BO13" s="14">
        <f t="shared" ref="BO13:BO14" si="2">G13</f>
        <v>-47.8917</v>
      </c>
      <c r="BP13" s="14">
        <f t="shared" ref="BP13:BP14" si="3">F13</f>
        <v>-3.7029000000000001</v>
      </c>
      <c r="BQ13" s="14">
        <f t="shared" ref="BQ13:BQ14" si="4">H13</f>
        <v>1.8000000000000001E-4</v>
      </c>
      <c r="BR13" s="14"/>
      <c r="BS13" s="14">
        <f>K13</f>
        <v>-47.889699999999998</v>
      </c>
      <c r="BT13" s="14">
        <f>J13</f>
        <v>-3.7014</v>
      </c>
      <c r="BU13" s="14">
        <f>L13</f>
        <v>-1.5E-3</v>
      </c>
      <c r="BV13" s="2"/>
      <c r="BW13" s="14">
        <f>O13</f>
        <v>-47.891500000000001</v>
      </c>
      <c r="BX13" s="14">
        <f>N13</f>
        <v>-3.6968000000000001</v>
      </c>
      <c r="BY13" s="14">
        <f>P13</f>
        <v>-1.6999999999999999E-3</v>
      </c>
      <c r="BZ13" s="2"/>
      <c r="CA13" s="14">
        <f>S13</f>
        <v>-47.8917</v>
      </c>
      <c r="CB13" s="14">
        <f>R13</f>
        <v>-3.6968000000000001</v>
      </c>
      <c r="CC13" s="14">
        <f>T13</f>
        <v>-1.6000000000000001E-4</v>
      </c>
      <c r="CD13" s="2"/>
      <c r="CE13" s="14">
        <f>W13</f>
        <v>-47.895200000000003</v>
      </c>
      <c r="CF13" s="14">
        <f>V13</f>
        <v>-3.6947999999999999</v>
      </c>
      <c r="CG13" s="14">
        <f>X13</f>
        <v>-1.2999999999999999E-3</v>
      </c>
    </row>
    <row r="14" spans="1:85">
      <c r="A14" s="194">
        <v>7327</v>
      </c>
      <c r="B14" s="233" t="s">
        <v>176</v>
      </c>
      <c r="C14" s="2" t="s">
        <v>62</v>
      </c>
      <c r="D14" s="2"/>
      <c r="E14" s="2"/>
      <c r="F14" s="2">
        <v>37.2166</v>
      </c>
      <c r="G14" s="2">
        <v>-36.201099999999997</v>
      </c>
      <c r="H14" s="2">
        <v>10.9475</v>
      </c>
      <c r="I14" s="2"/>
      <c r="J14" s="14">
        <v>37.213799999999999</v>
      </c>
      <c r="K14" s="124">
        <v>-36.202199999999998</v>
      </c>
      <c r="L14" s="124">
        <v>10.9436</v>
      </c>
      <c r="M14" s="124"/>
      <c r="N14" s="124">
        <v>37.216999999999999</v>
      </c>
      <c r="O14" s="14">
        <v>-36.203000000000003</v>
      </c>
      <c r="P14" s="14">
        <v>10.9451</v>
      </c>
      <c r="Q14" s="14"/>
      <c r="R14" s="14">
        <v>37.2164</v>
      </c>
      <c r="S14" s="14">
        <v>-36.201999999999998</v>
      </c>
      <c r="T14" s="14">
        <v>10.942600000000001</v>
      </c>
      <c r="U14" s="14"/>
      <c r="V14" s="14">
        <v>37.217199999999998</v>
      </c>
      <c r="W14" s="14">
        <v>-36.2027</v>
      </c>
      <c r="X14" s="14">
        <v>10.9444</v>
      </c>
      <c r="Z14" s="27">
        <f t="array" ref="Z14:AB14">MMULT(BO14:BQ14,TRANSPOSE($AH$3:$AJ$5))</f>
        <v>-36.200176495387332</v>
      </c>
      <c r="AA14" s="14">
        <v>37.215994945253769</v>
      </c>
      <c r="AB14" s="14">
        <v>10.952610752528171</v>
      </c>
      <c r="AC14" s="2"/>
      <c r="AD14" s="27">
        <f t="array" ref="AD14:AF14">MMULT(BS14:BU14,TRANSPOSE($AH$3:$AJ$5))</f>
        <v>-36.201276824381893</v>
      </c>
      <c r="AE14" s="14">
        <v>37.213195160801931</v>
      </c>
      <c r="AF14" s="14">
        <v>10.948710690568982</v>
      </c>
      <c r="AG14" s="2"/>
      <c r="AH14" s="14">
        <f t="array" ref="AH14:AJ14">MMULT(BW14:BY14,TRANSPOSE($AH$3:$AJ$5))</f>
        <v>-36.202076697845527</v>
      </c>
      <c r="AI14" s="14">
        <v>37.216395077898795</v>
      </c>
      <c r="AJ14" s="14">
        <v>10.950210934915077</v>
      </c>
      <c r="AK14" s="2"/>
      <c r="AL14" s="14">
        <f t="array" ref="AL14:AN14">MMULT(CA14:CC14,TRANSPOSE($AH$3:$AJ$5))</f>
        <v>-36.201076908739473</v>
      </c>
      <c r="AM14" s="14">
        <v>37.215795216070696</v>
      </c>
      <c r="AN14" s="14">
        <v>10.947710817396242</v>
      </c>
      <c r="AO14" s="2"/>
      <c r="AP14" s="14">
        <f t="array" ref="AP14:AR14">MMULT(CE14:CG14,TRANSPOSE($AH$3:$AJ$5))</f>
        <v>-36.201776756895832</v>
      </c>
      <c r="AQ14" s="14">
        <v>37.216595116586923</v>
      </c>
      <c r="AR14" s="28">
        <v>10.949510920661556</v>
      </c>
      <c r="AS14" s="3"/>
      <c r="AT14" s="27">
        <f t="array" ref="AT14:AV14">MMULT(Z14:AB14,$V$3:$X$5)</f>
        <v>33.269525613696715</v>
      </c>
      <c r="AU14" s="124">
        <v>19.187973950467889</v>
      </c>
      <c r="AV14" s="124">
        <v>36.611515421715154</v>
      </c>
      <c r="AW14" s="27">
        <f t="array" ref="AW14:AY14">MMULT(AD14:AF14,$V$3:$X$5)</f>
        <v>33.271405567835352</v>
      </c>
      <c r="AX14" s="124">
        <v>19.187814922515109</v>
      </c>
      <c r="AY14" s="124">
        <v>36.606965643401281</v>
      </c>
      <c r="AZ14" s="2"/>
      <c r="BA14" s="27">
        <f t="array" ref="BA14:BC14">MMULT(AH14:AJ14,$V$3:$X$5)</f>
        <v>33.272419025892859</v>
      </c>
      <c r="BB14" s="124">
        <v>19.18800107112477</v>
      </c>
      <c r="BC14" s="124">
        <v>36.610439582310278</v>
      </c>
      <c r="BD14" s="2"/>
      <c r="BE14" s="27">
        <f t="array" ref="BE14:BG14">MMULT(AL14:AN14,$V$3:$X$5)</f>
        <v>33.273046742244382</v>
      </c>
      <c r="BF14" s="124">
        <v>19.186149676589672</v>
      </c>
      <c r="BG14" s="124">
        <v>36.608493224035236</v>
      </c>
      <c r="BH14" s="2"/>
      <c r="BI14" s="27">
        <f t="array" ref="BI14:BK14">MMULT(AP14:AR14,$V$3:$X$5)</f>
        <v>33.272745085856727</v>
      </c>
      <c r="BJ14" s="124">
        <v>19.187327951726374</v>
      </c>
      <c r="BK14" s="124">
        <v>36.610193421426615</v>
      </c>
      <c r="BO14" s="14">
        <f t="shared" si="2"/>
        <v>-36.201099999999997</v>
      </c>
      <c r="BP14" s="14">
        <f t="shared" si="3"/>
        <v>37.2166</v>
      </c>
      <c r="BQ14" s="14">
        <f t="shared" si="4"/>
        <v>10.9475</v>
      </c>
      <c r="BR14" s="14"/>
      <c r="BS14" s="14">
        <f>K14</f>
        <v>-36.202199999999998</v>
      </c>
      <c r="BT14" s="14">
        <f>J14</f>
        <v>37.213799999999999</v>
      </c>
      <c r="BU14" s="14">
        <f>L14</f>
        <v>10.9436</v>
      </c>
      <c r="BV14" s="2"/>
      <c r="BW14" s="14">
        <f>O14</f>
        <v>-36.203000000000003</v>
      </c>
      <c r="BX14" s="14">
        <f>N14</f>
        <v>37.216999999999999</v>
      </c>
      <c r="BY14" s="14">
        <f>P14</f>
        <v>10.9451</v>
      </c>
      <c r="BZ14" s="2"/>
      <c r="CA14" s="14">
        <f>S14</f>
        <v>-36.201999999999998</v>
      </c>
      <c r="CB14" s="14">
        <f>R14</f>
        <v>37.2164</v>
      </c>
      <c r="CC14" s="14">
        <f>T14</f>
        <v>10.942600000000001</v>
      </c>
      <c r="CD14" s="2"/>
      <c r="CE14" s="14">
        <f>W14</f>
        <v>-36.2027</v>
      </c>
      <c r="CF14" s="14">
        <f>V14</f>
        <v>37.217199999999998</v>
      </c>
      <c r="CG14" s="14">
        <f>X14</f>
        <v>10.9444</v>
      </c>
    </row>
    <row r="15" spans="1:85">
      <c r="A15" s="194"/>
      <c r="B15" s="233"/>
      <c r="C15" s="2"/>
      <c r="D15" s="2"/>
      <c r="E15" s="2"/>
      <c r="F15" s="2"/>
      <c r="G15" s="2"/>
      <c r="H15" s="2"/>
      <c r="I15" s="2"/>
      <c r="J15" s="14"/>
      <c r="K15" s="124"/>
      <c r="L15" s="124"/>
      <c r="M15" s="124"/>
      <c r="N15" s="124"/>
      <c r="O15" s="14"/>
      <c r="P15" s="14"/>
      <c r="Q15" s="14"/>
      <c r="R15" s="14"/>
      <c r="S15" s="14"/>
      <c r="T15" s="14"/>
      <c r="U15" s="14"/>
      <c r="V15" s="14"/>
      <c r="W15" s="14"/>
      <c r="X15" s="14"/>
      <c r="Z15" s="27"/>
      <c r="AA15" s="14"/>
      <c r="AB15" s="14"/>
      <c r="AC15" s="2"/>
      <c r="AD15" s="27"/>
      <c r="AE15" s="14"/>
      <c r="AF15" s="14"/>
      <c r="AG15" s="2"/>
      <c r="AH15" s="2"/>
      <c r="AI15" s="2"/>
      <c r="AJ15" s="2"/>
      <c r="AK15" s="2"/>
      <c r="AL15" s="2"/>
      <c r="AM15" s="2"/>
      <c r="AN15" s="2"/>
      <c r="AO15" s="2"/>
      <c r="AP15" s="2"/>
      <c r="AQ15" s="2"/>
      <c r="AR15" s="21"/>
      <c r="AT15" s="20"/>
      <c r="AU15" s="2"/>
      <c r="AV15" s="2"/>
      <c r="AW15" s="20"/>
      <c r="AX15" s="2"/>
      <c r="AY15" s="2"/>
      <c r="AZ15" s="2"/>
      <c r="BA15" s="2"/>
      <c r="BB15" s="2"/>
      <c r="BC15" s="2"/>
      <c r="BD15" s="2"/>
      <c r="BE15" s="2"/>
      <c r="BF15" s="2"/>
      <c r="BG15" s="2"/>
      <c r="BH15" s="2"/>
      <c r="BI15" s="2"/>
      <c r="BJ15" s="2"/>
      <c r="BK15" s="21"/>
      <c r="BO15" s="2"/>
      <c r="BP15" s="2"/>
      <c r="BQ15" s="2"/>
      <c r="BR15" s="2"/>
      <c r="BS15" s="2"/>
      <c r="BT15" s="2"/>
      <c r="BU15" s="2"/>
      <c r="BV15" s="2"/>
      <c r="BW15" s="2"/>
      <c r="BX15" s="2"/>
      <c r="BY15" s="2"/>
      <c r="BZ15" s="2"/>
      <c r="CA15" s="2"/>
      <c r="CB15" s="2"/>
      <c r="CC15" s="2"/>
      <c r="CD15" s="2"/>
      <c r="CE15" s="2"/>
      <c r="CF15" s="2"/>
      <c r="CG15" s="2"/>
    </row>
    <row r="16" spans="1:85">
      <c r="A16" s="194">
        <v>7308</v>
      </c>
      <c r="B16" s="233" t="s">
        <v>174</v>
      </c>
      <c r="C16" s="2" t="s">
        <v>243</v>
      </c>
      <c r="D16" s="2"/>
      <c r="E16" s="2"/>
      <c r="F16" s="14">
        <v>-15.202500000000001</v>
      </c>
      <c r="G16" s="14">
        <v>58.057299999999998</v>
      </c>
      <c r="H16" s="14">
        <v>8.0470000000000006</v>
      </c>
      <c r="I16" s="2"/>
      <c r="J16" s="151" t="s">
        <v>206</v>
      </c>
      <c r="K16" s="151" t="s">
        <v>206</v>
      </c>
      <c r="L16" s="151" t="s">
        <v>206</v>
      </c>
      <c r="M16" s="124"/>
      <c r="N16" s="151" t="s">
        <v>206</v>
      </c>
      <c r="O16" s="151" t="s">
        <v>206</v>
      </c>
      <c r="P16" s="151" t="s">
        <v>206</v>
      </c>
      <c r="Q16" s="14"/>
      <c r="R16" s="292">
        <v>-15.194699999999999</v>
      </c>
      <c r="S16" s="292">
        <v>58.059100000000001</v>
      </c>
      <c r="T16" s="292">
        <v>8.0509000000000004</v>
      </c>
      <c r="U16" s="151"/>
      <c r="V16" s="151" t="s">
        <v>206</v>
      </c>
      <c r="W16" s="151" t="s">
        <v>206</v>
      </c>
      <c r="X16" s="151" t="s">
        <v>206</v>
      </c>
      <c r="Z16" s="27">
        <f t="array" ref="Z16:AB16">MMULT(BO16:BQ16,TRANSPOSE($AH$3:$AJ$5))</f>
        <v>58.057978825450384</v>
      </c>
      <c r="AA16" s="14">
        <v>-15.202944747708877</v>
      </c>
      <c r="AB16" s="14">
        <v>8.0412622033223542</v>
      </c>
      <c r="AC16" s="2"/>
      <c r="AD16" s="151" t="s">
        <v>206</v>
      </c>
      <c r="AE16" s="151" t="s">
        <v>206</v>
      </c>
      <c r="AF16" s="151" t="s">
        <v>206</v>
      </c>
      <c r="AG16" s="2"/>
      <c r="AH16" s="151" t="s">
        <v>206</v>
      </c>
      <c r="AI16" s="151" t="s">
        <v>206</v>
      </c>
      <c r="AJ16" s="151" t="s">
        <v>206</v>
      </c>
      <c r="AK16" s="2"/>
      <c r="AL16" s="197">
        <f>CA16</f>
        <v>58.059100000000001</v>
      </c>
      <c r="AM16" s="197">
        <f>CB16</f>
        <v>-15.194699999999999</v>
      </c>
      <c r="AN16" s="197">
        <f>CC16</f>
        <v>8.0509000000000004</v>
      </c>
      <c r="AO16" s="2"/>
      <c r="AP16" s="197" t="str">
        <f>CE16</f>
        <v>-</v>
      </c>
      <c r="AQ16" s="197" t="str">
        <f>CF16</f>
        <v>-</v>
      </c>
      <c r="AR16" s="259" t="str">
        <f>CG16</f>
        <v>-</v>
      </c>
      <c r="AS16" s="198"/>
      <c r="AT16" s="27">
        <f t="array" ref="AT16:AV16">MMULT(Z16:AB16,$V$3:$X$5)</f>
        <v>-49.425414367236641</v>
      </c>
      <c r="AU16" s="124">
        <v>-34.13374077020076</v>
      </c>
      <c r="AV16" s="124">
        <v>-7.6509141794041513</v>
      </c>
      <c r="AW16" s="151" t="s">
        <v>206</v>
      </c>
      <c r="AX16" s="151" t="s">
        <v>206</v>
      </c>
      <c r="AY16" s="151" t="s">
        <v>206</v>
      </c>
      <c r="AZ16" s="2"/>
      <c r="BA16" s="151" t="s">
        <v>206</v>
      </c>
      <c r="BB16" s="151" t="s">
        <v>206</v>
      </c>
      <c r="BC16" s="151" t="s">
        <v>206</v>
      </c>
      <c r="BD16" s="2"/>
      <c r="BE16" s="27">
        <f t="array" ref="BE16:BG16">MMULT(AL16:AN16,$V$3:$X$5)</f>
        <v>-49.428433652770622</v>
      </c>
      <c r="BF16" s="124">
        <v>-34.132635665591579</v>
      </c>
      <c r="BG16" s="124">
        <v>-7.6385941680153415</v>
      </c>
      <c r="BH16" s="2"/>
      <c r="BI16" s="151" t="s">
        <v>206</v>
      </c>
      <c r="BJ16" s="151" t="s">
        <v>206</v>
      </c>
      <c r="BK16" s="151" t="s">
        <v>206</v>
      </c>
      <c r="BO16" s="14">
        <f>G16</f>
        <v>58.057299999999998</v>
      </c>
      <c r="BP16" s="14">
        <f>F16</f>
        <v>-15.202500000000001</v>
      </c>
      <c r="BQ16" s="14">
        <f>H16</f>
        <v>8.0470000000000006</v>
      </c>
      <c r="BR16" s="14"/>
      <c r="BS16" s="14" t="str">
        <f>K16</f>
        <v>-</v>
      </c>
      <c r="BT16" s="14" t="str">
        <f>J16</f>
        <v>-</v>
      </c>
      <c r="BU16" s="14" t="str">
        <f>L16</f>
        <v>-</v>
      </c>
      <c r="BV16" s="2"/>
      <c r="BW16" s="14" t="str">
        <f>O16</f>
        <v>-</v>
      </c>
      <c r="BX16" s="14" t="str">
        <f>N16</f>
        <v>-</v>
      </c>
      <c r="BY16" s="14" t="str">
        <f>P16</f>
        <v>-</v>
      </c>
      <c r="BZ16" s="2"/>
      <c r="CA16" s="14">
        <f>S16</f>
        <v>58.059100000000001</v>
      </c>
      <c r="CB16" s="14">
        <f>R16</f>
        <v>-15.194699999999999</v>
      </c>
      <c r="CC16" s="14">
        <f>T16</f>
        <v>8.0509000000000004</v>
      </c>
      <c r="CD16" s="2"/>
      <c r="CE16" s="14" t="str">
        <f>W16</f>
        <v>-</v>
      </c>
      <c r="CF16" s="14" t="str">
        <f>V16</f>
        <v>-</v>
      </c>
      <c r="CG16" s="14" t="str">
        <f>X16</f>
        <v>-</v>
      </c>
    </row>
    <row r="17" spans="1:85">
      <c r="A17" s="194"/>
      <c r="B17" s="233"/>
      <c r="C17" s="2"/>
      <c r="D17" s="2"/>
      <c r="E17" s="2"/>
      <c r="F17" s="2"/>
      <c r="G17" s="2"/>
      <c r="H17" s="2"/>
      <c r="I17" s="2"/>
      <c r="J17" s="14"/>
      <c r="K17" s="124"/>
      <c r="L17" s="124"/>
      <c r="M17" s="124"/>
      <c r="N17" s="124"/>
      <c r="O17" s="14"/>
      <c r="P17" s="14"/>
      <c r="Q17" s="14"/>
      <c r="R17" s="14"/>
      <c r="S17" s="14"/>
      <c r="T17" s="14"/>
      <c r="U17" s="14"/>
      <c r="V17" s="14"/>
      <c r="W17" s="14"/>
      <c r="X17" s="14"/>
      <c r="Z17" s="27"/>
      <c r="AA17" s="14"/>
      <c r="AB17" s="14"/>
      <c r="AC17" s="2"/>
      <c r="AD17" s="27"/>
      <c r="AE17" s="14"/>
      <c r="AF17" s="14"/>
      <c r="AG17" s="2"/>
      <c r="AH17" s="2"/>
      <c r="AI17" s="2"/>
      <c r="AJ17" s="2"/>
      <c r="AK17" s="2"/>
      <c r="AL17" s="2"/>
      <c r="AM17" s="2"/>
      <c r="AN17" s="2"/>
      <c r="AO17" s="2"/>
      <c r="AP17" s="2"/>
      <c r="AQ17" s="2"/>
      <c r="AR17" s="21"/>
      <c r="AT17" s="20"/>
      <c r="AU17" s="2"/>
      <c r="AV17" s="2"/>
      <c r="AW17" s="20"/>
      <c r="AX17" s="2"/>
      <c r="AY17" s="2"/>
      <c r="AZ17" s="2"/>
      <c r="BA17" s="2"/>
      <c r="BB17" s="2"/>
      <c r="BC17" s="2"/>
      <c r="BD17" s="2"/>
      <c r="BE17" s="2"/>
      <c r="BF17" s="2"/>
      <c r="BG17" s="2"/>
      <c r="BH17" s="2"/>
      <c r="BI17" s="2"/>
      <c r="BJ17" s="2"/>
      <c r="BK17" s="21"/>
      <c r="BO17" s="2"/>
      <c r="BP17" s="2"/>
      <c r="BQ17" s="2"/>
      <c r="BR17" s="2"/>
      <c r="BS17" s="2"/>
      <c r="BT17" s="2"/>
      <c r="BU17" s="2"/>
      <c r="BV17" s="2"/>
      <c r="BW17" s="2"/>
      <c r="BX17" s="2"/>
      <c r="BY17" s="2"/>
      <c r="BZ17" s="2"/>
      <c r="CA17" s="2"/>
      <c r="CB17" s="2"/>
      <c r="CC17" s="2"/>
      <c r="CD17" s="2"/>
      <c r="CE17" s="2"/>
      <c r="CF17" s="2"/>
      <c r="CG17" s="2"/>
    </row>
    <row r="18" spans="1:85">
      <c r="A18" s="9" t="s">
        <v>3</v>
      </c>
      <c r="B18" s="233" t="s">
        <v>200</v>
      </c>
      <c r="C18" s="2" t="s">
        <v>21</v>
      </c>
      <c r="D18" s="2"/>
      <c r="E18" s="2"/>
      <c r="F18" s="2">
        <v>13.3673</v>
      </c>
      <c r="G18" s="2">
        <v>-32.717199999999998</v>
      </c>
      <c r="H18" s="2">
        <v>8.5974000000000004</v>
      </c>
      <c r="I18" s="2"/>
      <c r="J18" s="14">
        <v>13.3658</v>
      </c>
      <c r="K18" s="124">
        <v>-32.7179</v>
      </c>
      <c r="L18" s="124">
        <v>9.1710999999999991</v>
      </c>
      <c r="M18" s="124"/>
      <c r="N18" s="14">
        <v>13.3683</v>
      </c>
      <c r="O18" s="124">
        <v>-32.716900000000003</v>
      </c>
      <c r="P18" s="124">
        <v>9.1752000000000002</v>
      </c>
      <c r="Q18" s="14"/>
      <c r="R18" s="151" t="s">
        <v>206</v>
      </c>
      <c r="S18" s="151" t="s">
        <v>206</v>
      </c>
      <c r="T18" s="151" t="s">
        <v>206</v>
      </c>
      <c r="U18" s="151"/>
      <c r="V18" s="151" t="s">
        <v>206</v>
      </c>
      <c r="W18" s="151" t="s">
        <v>206</v>
      </c>
      <c r="X18" s="151" t="s">
        <v>206</v>
      </c>
      <c r="Z18" s="27">
        <f t="array" ref="Z18:AB18">MMULT(BO18:BQ18,TRANSPOSE($AH$3:$AJ$5))</f>
        <v>-32.716474744137294</v>
      </c>
      <c r="AA18" s="14">
        <v>13.366824832365815</v>
      </c>
      <c r="AB18" s="14">
        <v>8.6008987379239841</v>
      </c>
      <c r="AC18" s="2"/>
      <c r="AD18" s="27">
        <f t="array" ref="AD18:AF18">MMULT(BS18:BU18,TRANSPOSE($AH$3:$AJ$5))</f>
        <v>-32.717126348193354</v>
      </c>
      <c r="AE18" s="14">
        <v>13.365293124678406</v>
      </c>
      <c r="AF18" s="14">
        <v>9.1745987140711502</v>
      </c>
      <c r="AG18" s="2"/>
      <c r="AH18" s="14">
        <f t="array" ref="AH18:AJ18">MMULT(BW18:BY18,TRANSPOSE($AH$3:$AJ$5))</f>
        <v>-32.716126002327279</v>
      </c>
      <c r="AI18" s="14">
        <v>13.367792898076491</v>
      </c>
      <c r="AJ18" s="14">
        <v>9.1786987678854697</v>
      </c>
      <c r="AK18" s="2"/>
      <c r="AL18" s="197" t="str">
        <f>CA18</f>
        <v>-</v>
      </c>
      <c r="AM18" s="197" t="str">
        <f>CB18</f>
        <v>-</v>
      </c>
      <c r="AN18" s="197" t="str">
        <f>CC18</f>
        <v>-</v>
      </c>
      <c r="AO18" s="2"/>
      <c r="AP18" s="197" t="str">
        <f>CE18</f>
        <v>-</v>
      </c>
      <c r="AQ18" s="197" t="str">
        <f>CF18</f>
        <v>-</v>
      </c>
      <c r="AR18" s="259" t="str">
        <f>CG18</f>
        <v>-</v>
      </c>
      <c r="AS18" s="198"/>
      <c r="AT18" s="27">
        <f t="array" ref="AT18:AV18">MMULT(Z18:AB18,$V$3:$X$5)</f>
        <v>21.874984739341343</v>
      </c>
      <c r="AU18" s="124">
        <v>24.341781455515054</v>
      </c>
      <c r="AV18" s="124">
        <v>15.873811864466383</v>
      </c>
      <c r="AW18" s="27">
        <f t="array" ref="AW18:AY18">MMULT(AD18:AF18,$V$3:$X$5)</f>
        <v>21.520569924375422</v>
      </c>
      <c r="AX18" s="124">
        <v>24.645466269619352</v>
      </c>
      <c r="AY18" s="124">
        <v>16.207428569627645</v>
      </c>
      <c r="AZ18" s="2"/>
      <c r="BA18" s="27">
        <f t="array" ref="BA18:BC18">MMULT(AH18:AJ18,$V$3:$X$5)</f>
        <v>21.518498328027025</v>
      </c>
      <c r="BB18" s="124">
        <v>24.645920555310759</v>
      </c>
      <c r="BC18" s="124">
        <v>16.211851477410285</v>
      </c>
      <c r="BD18" s="2"/>
      <c r="BE18" s="151" t="s">
        <v>206</v>
      </c>
      <c r="BF18" s="151" t="s">
        <v>206</v>
      </c>
      <c r="BG18" s="151" t="s">
        <v>206</v>
      </c>
      <c r="BH18" s="2"/>
      <c r="BI18" s="151" t="s">
        <v>206</v>
      </c>
      <c r="BJ18" s="151" t="s">
        <v>206</v>
      </c>
      <c r="BK18" s="151" t="s">
        <v>206</v>
      </c>
      <c r="BO18" s="14">
        <f>G18</f>
        <v>-32.717199999999998</v>
      </c>
      <c r="BP18" s="14">
        <f>F18</f>
        <v>13.3673</v>
      </c>
      <c r="BQ18" s="14">
        <f>H18</f>
        <v>8.5974000000000004</v>
      </c>
      <c r="BR18" s="14"/>
      <c r="BS18" s="14">
        <f>K18</f>
        <v>-32.7179</v>
      </c>
      <c r="BT18" s="14">
        <f>J18</f>
        <v>13.3658</v>
      </c>
      <c r="BU18" s="14">
        <f>L18</f>
        <v>9.1710999999999991</v>
      </c>
      <c r="BV18" s="2"/>
      <c r="BW18" s="14">
        <f>O18</f>
        <v>-32.716900000000003</v>
      </c>
      <c r="BX18" s="14">
        <f>N18</f>
        <v>13.3683</v>
      </c>
      <c r="BY18" s="14">
        <f>P18</f>
        <v>9.1752000000000002</v>
      </c>
      <c r="BZ18" s="2"/>
      <c r="CA18" s="14" t="str">
        <f>S18</f>
        <v>-</v>
      </c>
      <c r="CB18" s="14" t="str">
        <f>R18</f>
        <v>-</v>
      </c>
      <c r="CC18" s="14" t="str">
        <f>T18</f>
        <v>-</v>
      </c>
      <c r="CD18" s="2"/>
      <c r="CE18" s="14" t="str">
        <f>W18</f>
        <v>-</v>
      </c>
      <c r="CF18" s="14" t="str">
        <f>V18</f>
        <v>-</v>
      </c>
      <c r="CG18" s="14" t="str">
        <f>X18</f>
        <v>-</v>
      </c>
    </row>
    <row r="19" spans="1:85" ht="15.75" thickBot="1">
      <c r="A19" s="194"/>
      <c r="B19" s="233"/>
      <c r="C19" s="2"/>
      <c r="D19" s="2"/>
      <c r="E19" s="2"/>
      <c r="F19" s="2"/>
      <c r="G19" s="2"/>
      <c r="H19" s="2"/>
      <c r="I19" s="2"/>
      <c r="J19" s="14"/>
      <c r="K19" s="124"/>
      <c r="L19" s="124"/>
      <c r="M19" s="124"/>
      <c r="N19" s="124"/>
      <c r="O19" s="14"/>
      <c r="P19" s="14"/>
      <c r="Q19" s="14"/>
      <c r="R19" s="151"/>
      <c r="S19" s="151"/>
      <c r="T19" s="151"/>
      <c r="U19" s="151"/>
      <c r="V19" s="151"/>
      <c r="W19" s="151"/>
      <c r="X19" s="151"/>
      <c r="Z19" s="45"/>
      <c r="AA19" s="29"/>
      <c r="AB19" s="29"/>
      <c r="AC19" s="23"/>
      <c r="AD19" s="45"/>
      <c r="AE19" s="29"/>
      <c r="AF19" s="29"/>
      <c r="AG19" s="23"/>
      <c r="AH19" s="29"/>
      <c r="AI19" s="29"/>
      <c r="AJ19" s="29"/>
      <c r="AK19" s="23"/>
      <c r="AL19" s="260"/>
      <c r="AM19" s="260"/>
      <c r="AN19" s="260"/>
      <c r="AO19" s="23"/>
      <c r="AP19" s="260"/>
      <c r="AQ19" s="260"/>
      <c r="AR19" s="261"/>
      <c r="AS19" s="258"/>
      <c r="AT19" s="27"/>
      <c r="AU19" s="124"/>
      <c r="AV19" s="124"/>
      <c r="AW19" s="27"/>
      <c r="AX19" s="124"/>
      <c r="AY19" s="124"/>
      <c r="AZ19" s="23"/>
      <c r="BA19" s="27"/>
      <c r="BB19" s="124"/>
      <c r="BC19" s="124"/>
      <c r="BD19" s="23"/>
      <c r="BE19" s="23"/>
      <c r="BF19" s="23"/>
      <c r="BG19" s="23"/>
      <c r="BH19" s="23"/>
      <c r="BI19" s="23"/>
      <c r="BJ19" s="23"/>
      <c r="BK19" s="24"/>
      <c r="BO19" s="14"/>
      <c r="BP19" s="14"/>
      <c r="BQ19" s="14"/>
      <c r="BR19" s="14"/>
      <c r="BS19" s="14"/>
      <c r="BT19" s="14"/>
      <c r="BU19" s="14"/>
      <c r="BV19" s="2"/>
      <c r="BW19" s="14"/>
      <c r="BX19" s="14"/>
      <c r="BY19" s="14"/>
      <c r="BZ19" s="2"/>
      <c r="CA19" s="14"/>
      <c r="CB19" s="14"/>
      <c r="CC19" s="14"/>
      <c r="CD19" s="2"/>
      <c r="CE19" s="14"/>
      <c r="CF19" s="14"/>
      <c r="CG19" s="14"/>
    </row>
    <row r="20" spans="1:85">
      <c r="A20" s="9"/>
      <c r="B20" s="229"/>
      <c r="C20" s="7"/>
      <c r="D20" s="7"/>
      <c r="E20" s="7"/>
      <c r="F20" s="16"/>
      <c r="G20" s="129"/>
      <c r="H20" s="129"/>
      <c r="I20" s="134"/>
      <c r="J20" s="134"/>
      <c r="K20" s="7"/>
      <c r="L20" s="7"/>
      <c r="M20" s="7"/>
      <c r="N20" s="7"/>
      <c r="O20" s="7"/>
      <c r="P20" s="7"/>
      <c r="Q20" s="7"/>
      <c r="R20" s="7"/>
      <c r="S20" s="7"/>
      <c r="T20" s="7"/>
      <c r="V20" s="3"/>
      <c r="W20" s="3"/>
      <c r="X20" s="3"/>
      <c r="BH20"/>
    </row>
    <row r="21" spans="1:85" ht="15.75" thickBot="1">
      <c r="A21" s="9"/>
      <c r="B21" s="230"/>
      <c r="C21" s="36"/>
      <c r="D21" s="36"/>
      <c r="E21" s="36"/>
      <c r="F21" s="223"/>
      <c r="G21" s="224"/>
      <c r="H21" s="224"/>
      <c r="I21" s="225"/>
      <c r="J21" s="225"/>
      <c r="K21" s="36"/>
      <c r="L21" s="36"/>
      <c r="M21" s="36"/>
      <c r="N21" s="36"/>
      <c r="O21" s="36"/>
      <c r="P21" s="36"/>
      <c r="Q21" s="36"/>
      <c r="R21" s="36"/>
      <c r="S21" s="36"/>
      <c r="T21" s="36"/>
      <c r="V21" s="3"/>
      <c r="W21" s="3"/>
      <c r="X21" s="3"/>
      <c r="BH21"/>
    </row>
    <row r="22" spans="1:85" ht="15.75" thickTop="1"/>
    <row r="23" spans="1:85">
      <c r="F23" s="349" t="s">
        <v>76</v>
      </c>
      <c r="G23" s="349"/>
      <c r="H23" s="349"/>
      <c r="J23" s="349" t="s">
        <v>61</v>
      </c>
      <c r="K23" s="349"/>
      <c r="L23" s="349"/>
      <c r="N23" s="320" t="s">
        <v>61</v>
      </c>
      <c r="O23" s="320"/>
      <c r="P23" s="320"/>
    </row>
    <row r="24" spans="1:85" ht="19.5" thickBot="1">
      <c r="F24" s="350" t="s">
        <v>9</v>
      </c>
      <c r="G24" s="350"/>
      <c r="H24" s="350"/>
      <c r="J24" s="350" t="s">
        <v>10</v>
      </c>
      <c r="K24" s="350"/>
      <c r="L24" s="350"/>
      <c r="N24" s="316" t="s">
        <v>11</v>
      </c>
      <c r="O24" s="316"/>
      <c r="P24" s="316"/>
      <c r="R24" s="316" t="s">
        <v>12</v>
      </c>
      <c r="S24" s="316"/>
      <c r="T24" s="316"/>
      <c r="V24" s="316" t="s">
        <v>13</v>
      </c>
      <c r="W24" s="316"/>
      <c r="X24" s="316"/>
      <c r="Y24" s="119"/>
      <c r="AB24" s="178" t="s">
        <v>110</v>
      </c>
    </row>
    <row r="25" spans="1:85">
      <c r="B25" s="170" t="s">
        <v>169</v>
      </c>
      <c r="C25" s="17"/>
      <c r="D25" s="18"/>
      <c r="E25" s="18"/>
      <c r="F25" s="121" t="s">
        <v>22</v>
      </c>
      <c r="G25" s="121" t="s">
        <v>23</v>
      </c>
      <c r="H25" s="122" t="s">
        <v>24</v>
      </c>
      <c r="I25" s="123"/>
      <c r="J25" s="121" t="s">
        <v>22</v>
      </c>
      <c r="K25" s="121" t="s">
        <v>23</v>
      </c>
      <c r="L25" s="122" t="s">
        <v>24</v>
      </c>
      <c r="M25" s="43"/>
      <c r="N25" s="50" t="s">
        <v>22</v>
      </c>
      <c r="O25" s="50" t="s">
        <v>23</v>
      </c>
      <c r="P25" s="51" t="s">
        <v>24</v>
      </c>
      <c r="R25" s="50" t="s">
        <v>22</v>
      </c>
      <c r="S25" s="50" t="s">
        <v>23</v>
      </c>
      <c r="T25" s="51" t="s">
        <v>24</v>
      </c>
      <c r="V25" s="50" t="s">
        <v>22</v>
      </c>
      <c r="W25" s="50" t="s">
        <v>23</v>
      </c>
      <c r="X25" s="51" t="s">
        <v>24</v>
      </c>
      <c r="Y25" s="16"/>
      <c r="AA25" s="14" t="s">
        <v>22</v>
      </c>
      <c r="AB25" s="14" t="s">
        <v>23</v>
      </c>
      <c r="AC25" s="14" t="s">
        <v>24</v>
      </c>
      <c r="AD25" s="14"/>
      <c r="AE25" s="14" t="s">
        <v>111</v>
      </c>
      <c r="AF25" s="14" t="s">
        <v>112</v>
      </c>
      <c r="AG25" s="14" t="s">
        <v>113</v>
      </c>
      <c r="AH25" s="142" t="s">
        <v>128</v>
      </c>
    </row>
    <row r="26" spans="1:85">
      <c r="B26" t="s">
        <v>174</v>
      </c>
      <c r="C26" s="27" t="s">
        <v>32</v>
      </c>
      <c r="D26" s="2"/>
      <c r="E26" s="2"/>
      <c r="F26" s="124">
        <v>-3941961.6436000001</v>
      </c>
      <c r="G26" s="124">
        <v>3368148.2971000001</v>
      </c>
      <c r="H26" s="125">
        <v>3702208.6918000001</v>
      </c>
      <c r="I26" s="123"/>
      <c r="J26" s="124">
        <v>-3941961.4292000001</v>
      </c>
      <c r="K26" s="124">
        <v>3368148.4852999998</v>
      </c>
      <c r="L26" s="125">
        <v>3702208.6598999999</v>
      </c>
      <c r="M26" s="43"/>
      <c r="N26" s="14">
        <v>-3941961.4306000001</v>
      </c>
      <c r="O26" s="14">
        <v>3368148.4844999998</v>
      </c>
      <c r="P26" s="14">
        <v>3702208.6623</v>
      </c>
      <c r="R26" s="14">
        <v>-3941961.4281000001</v>
      </c>
      <c r="S26" s="14">
        <v>3368148.4848000002</v>
      </c>
      <c r="T26" s="14">
        <v>3702208.6586000002</v>
      </c>
      <c r="V26" s="14">
        <v>-3941961.4178999998</v>
      </c>
      <c r="W26" s="14">
        <v>3368148.4792999998</v>
      </c>
      <c r="X26" s="14">
        <v>3702208.6524</v>
      </c>
      <c r="Y26" s="16"/>
      <c r="Z26" s="175" t="s">
        <v>32</v>
      </c>
      <c r="AA26" s="2">
        <v>-3941941.2480000001</v>
      </c>
      <c r="AB26" s="2">
        <v>3368169.5515999999</v>
      </c>
      <c r="AC26" s="2">
        <v>3702195.659</v>
      </c>
      <c r="AD26" s="2"/>
      <c r="AE26" s="2">
        <v>2.0199999999999999E-2</v>
      </c>
      <c r="AF26" s="2">
        <v>1.4999999999999999E-2</v>
      </c>
      <c r="AG26" s="2">
        <v>2.3E-3</v>
      </c>
      <c r="AH26" s="144">
        <v>2000</v>
      </c>
    </row>
    <row r="27" spans="1:85">
      <c r="C27" s="27" t="s">
        <v>129</v>
      </c>
      <c r="D27" s="2"/>
      <c r="E27" s="2"/>
      <c r="F27" s="124">
        <v>-3941941.3574000001</v>
      </c>
      <c r="G27" s="124">
        <v>3368169.2404999998</v>
      </c>
      <c r="H27" s="125">
        <v>3702195.6261</v>
      </c>
      <c r="I27" s="123"/>
      <c r="J27" s="124">
        <v>-3941941.1414000001</v>
      </c>
      <c r="K27" s="124">
        <v>3368169.4246999999</v>
      </c>
      <c r="L27" s="125">
        <v>3702195.5932999998</v>
      </c>
      <c r="M27" s="43"/>
      <c r="N27" s="124">
        <v>-3941941.1381000001</v>
      </c>
      <c r="O27" s="124">
        <v>3368169.4241999998</v>
      </c>
      <c r="P27" s="125">
        <v>3702195.5968999998</v>
      </c>
      <c r="R27" s="124">
        <v>-3941941.1379999998</v>
      </c>
      <c r="S27" s="124">
        <v>3368169.4243999999</v>
      </c>
      <c r="T27" s="125">
        <v>3702195.5970000001</v>
      </c>
      <c r="V27" s="124">
        <v>-3941941.1351000001</v>
      </c>
      <c r="W27" s="124">
        <v>3368169.4264000002</v>
      </c>
      <c r="X27" s="125">
        <v>3702195.5987</v>
      </c>
      <c r="Y27" s="16"/>
      <c r="Z27" s="27"/>
      <c r="AA27" s="2"/>
      <c r="AB27" s="2"/>
      <c r="AC27" s="2"/>
      <c r="AD27" s="2"/>
      <c r="AE27" s="2"/>
      <c r="AF27" s="2"/>
      <c r="AG27" s="2"/>
      <c r="AH27" s="31"/>
    </row>
    <row r="28" spans="1:85">
      <c r="C28" s="175" t="s">
        <v>139</v>
      </c>
      <c r="D28" s="2"/>
      <c r="E28" s="2"/>
      <c r="F28" s="124">
        <v>-3941941.4314999999</v>
      </c>
      <c r="G28" s="124">
        <v>3368169.3037999999</v>
      </c>
      <c r="H28" s="125">
        <v>3702195.6962000001</v>
      </c>
      <c r="I28" s="123"/>
      <c r="J28" s="124">
        <v>-3941941.2154999999</v>
      </c>
      <c r="K28" s="124">
        <v>3368169.4879999999</v>
      </c>
      <c r="L28" s="125">
        <v>3702195.6634</v>
      </c>
      <c r="M28" s="43"/>
      <c r="N28" s="124">
        <v>-3941941.2122</v>
      </c>
      <c r="O28" s="124">
        <v>3368169.4874999998</v>
      </c>
      <c r="P28" s="125">
        <v>3702195.6669000001</v>
      </c>
      <c r="R28" s="124">
        <v>-3941941.2121000001</v>
      </c>
      <c r="S28" s="124">
        <v>3368169.4876999999</v>
      </c>
      <c r="T28" s="125">
        <v>3702195.6669999999</v>
      </c>
      <c r="V28" s="124">
        <v>-3941941.2091999999</v>
      </c>
      <c r="W28" s="124">
        <v>3368169.4896999998</v>
      </c>
      <c r="X28" s="125">
        <v>3702195.6880000001</v>
      </c>
      <c r="Y28" s="7"/>
      <c r="Z28" s="20"/>
      <c r="AA28" s="2"/>
      <c r="AB28" s="2"/>
      <c r="AC28" s="2"/>
      <c r="AD28" s="2"/>
      <c r="AE28" s="2"/>
      <c r="AF28" s="2"/>
      <c r="AG28" s="2"/>
    </row>
    <row r="29" spans="1:85">
      <c r="B29" t="s">
        <v>175</v>
      </c>
      <c r="C29" s="20" t="s">
        <v>145</v>
      </c>
      <c r="D29" s="2"/>
      <c r="E29" s="2"/>
      <c r="F29" s="124">
        <v>-3941949.3347999998</v>
      </c>
      <c r="G29" s="124">
        <v>3368156.0975000001</v>
      </c>
      <c r="H29" s="125">
        <v>3702214.8714999999</v>
      </c>
      <c r="I29" s="20" t="s">
        <v>1</v>
      </c>
      <c r="J29" s="124">
        <v>-3941949.1598999999</v>
      </c>
      <c r="K29" s="124">
        <v>3368156.3202</v>
      </c>
      <c r="L29" s="125">
        <v>3702214.8753999998</v>
      </c>
      <c r="N29" s="14">
        <v>-3941949.1590999998</v>
      </c>
      <c r="O29" s="14">
        <v>3368156.3191</v>
      </c>
      <c r="P29" s="14">
        <v>3702214.8783</v>
      </c>
      <c r="R29" s="14"/>
      <c r="S29" s="14"/>
      <c r="T29" s="14"/>
      <c r="V29" s="14"/>
      <c r="W29" s="14"/>
      <c r="X29" s="14"/>
      <c r="Y29" s="16"/>
      <c r="Z29" s="176" t="s">
        <v>1</v>
      </c>
      <c r="AA29" s="2">
        <v>-3941949.1590999998</v>
      </c>
      <c r="AB29" s="2">
        <v>3368156.3542999998</v>
      </c>
      <c r="AC29" s="2">
        <v>3702214.8204000001</v>
      </c>
      <c r="AD29" s="2"/>
      <c r="AE29" s="2">
        <v>2.3E-3</v>
      </c>
      <c r="AF29" s="2">
        <v>2.8E-3</v>
      </c>
      <c r="AG29" s="2">
        <v>5.9999999999999995E-4</v>
      </c>
      <c r="AH29" s="144">
        <v>2002</v>
      </c>
    </row>
    <row r="30" spans="1:85">
      <c r="C30" s="20"/>
      <c r="D30" s="2"/>
      <c r="E30" s="2"/>
      <c r="F30" s="124"/>
      <c r="G30" s="124"/>
      <c r="H30" s="125"/>
      <c r="I30" s="123"/>
      <c r="J30" s="124"/>
      <c r="K30" s="124"/>
      <c r="L30" s="125"/>
      <c r="M30" s="43"/>
      <c r="N30" s="2"/>
      <c r="O30" s="2"/>
      <c r="P30" s="2"/>
      <c r="R30" s="2"/>
      <c r="S30" s="2"/>
      <c r="T30" s="2"/>
      <c r="V30" s="2"/>
      <c r="W30" s="2"/>
      <c r="X30" s="2"/>
      <c r="Y30" s="7"/>
      <c r="Z30" s="20"/>
      <c r="AA30" s="2"/>
      <c r="AB30" s="2"/>
      <c r="AC30" s="2"/>
      <c r="AD30" s="2"/>
      <c r="AE30" s="2"/>
      <c r="AF30" s="2"/>
      <c r="AG30" s="2"/>
    </row>
    <row r="31" spans="1:85">
      <c r="B31" t="s">
        <v>176</v>
      </c>
      <c r="C31" s="176" t="s">
        <v>62</v>
      </c>
      <c r="D31" s="2"/>
      <c r="E31" s="2"/>
      <c r="F31" s="124">
        <v>-3941937.6242999998</v>
      </c>
      <c r="G31" s="124">
        <v>3368150.6740999999</v>
      </c>
      <c r="H31" s="125">
        <v>3702235.3108999999</v>
      </c>
      <c r="I31" s="123"/>
      <c r="J31" s="124">
        <v>-3941937.4078000002</v>
      </c>
      <c r="K31" s="124">
        <v>3368150.8618000001</v>
      </c>
      <c r="L31" s="125">
        <v>3702235.2741</v>
      </c>
      <c r="M31" s="43"/>
      <c r="N31" s="14">
        <v>-3941937.4068</v>
      </c>
      <c r="O31" s="14">
        <v>3368150.8620000002</v>
      </c>
      <c r="P31" s="14">
        <v>3702235.2776000001</v>
      </c>
      <c r="R31" s="14">
        <v>-3941937.4062000001</v>
      </c>
      <c r="S31" s="14">
        <v>3368150.8602</v>
      </c>
      <c r="T31" s="14">
        <v>3702235.2757000001</v>
      </c>
      <c r="V31" s="14">
        <v>-3941937.4065</v>
      </c>
      <c r="W31" s="14">
        <v>3368150.8613</v>
      </c>
      <c r="X31" s="14">
        <v>3702235.2773000002</v>
      </c>
      <c r="Y31" s="16"/>
      <c r="Z31" s="176" t="s">
        <v>62</v>
      </c>
      <c r="AA31" s="2">
        <v>-3941937.3089999999</v>
      </c>
      <c r="AB31" s="2">
        <v>3368150.9098</v>
      </c>
      <c r="AC31" s="2">
        <v>3702235.2357999999</v>
      </c>
      <c r="AD31" s="2"/>
      <c r="AE31" s="2">
        <v>4.4499999999999998E-2</v>
      </c>
      <c r="AF31" s="2">
        <v>4.1099999999999998E-2</v>
      </c>
      <c r="AG31" s="2">
        <v>2.7799999999999998E-2</v>
      </c>
      <c r="AH31" s="144">
        <v>2000</v>
      </c>
    </row>
    <row r="32" spans="1:85">
      <c r="C32" s="20"/>
      <c r="D32" s="2"/>
      <c r="E32" s="2"/>
      <c r="F32" s="124"/>
      <c r="G32" s="124"/>
      <c r="H32" s="125"/>
      <c r="I32" s="123"/>
      <c r="J32" s="124"/>
      <c r="K32" s="124"/>
      <c r="L32" s="125"/>
      <c r="M32" s="43"/>
      <c r="N32" s="14"/>
      <c r="O32" s="14"/>
      <c r="P32" s="14"/>
      <c r="R32" s="14"/>
      <c r="S32" s="14"/>
      <c r="T32" s="14"/>
      <c r="V32" s="14"/>
      <c r="W32" s="14"/>
      <c r="X32" s="14"/>
      <c r="Y32" s="16"/>
      <c r="Z32" s="20"/>
    </row>
    <row r="33" spans="2:60" ht="15.75" thickBot="1">
      <c r="C33" s="177" t="s">
        <v>119</v>
      </c>
      <c r="D33" s="29"/>
      <c r="E33" s="29"/>
      <c r="F33" s="124">
        <v>-3942020.3258000002</v>
      </c>
      <c r="G33" s="124">
        <v>3368097.3572</v>
      </c>
      <c r="H33" s="125">
        <v>3702191.0547000002</v>
      </c>
      <c r="I33" s="128"/>
      <c r="J33" s="126"/>
      <c r="K33" s="126"/>
      <c r="L33" s="127"/>
      <c r="M33" s="42"/>
      <c r="N33" s="29"/>
      <c r="O33" s="29"/>
      <c r="P33" s="30"/>
      <c r="R33" s="124">
        <v>-3942020.1113</v>
      </c>
      <c r="S33" s="124">
        <v>3368097.5428999998</v>
      </c>
      <c r="T33" s="125">
        <v>3702191.0310999998</v>
      </c>
      <c r="V33" s="29"/>
      <c r="W33" s="29"/>
      <c r="X33" s="30"/>
      <c r="Y33" s="16"/>
      <c r="Z33" s="177" t="s">
        <v>134</v>
      </c>
      <c r="AA33" s="2">
        <v>-3942020.1477999999</v>
      </c>
      <c r="AB33" s="2">
        <v>3368097.6101000002</v>
      </c>
      <c r="AC33" s="2">
        <v>3702191.0200999998</v>
      </c>
      <c r="AD33" s="2"/>
      <c r="AE33" s="2">
        <v>1.2800000000000001E-2</v>
      </c>
      <c r="AF33" s="2">
        <v>9.5999999999999992E-3</v>
      </c>
      <c r="AG33" s="2">
        <v>1.6999999999999999E-3</v>
      </c>
      <c r="AH33" s="144">
        <v>2000</v>
      </c>
    </row>
    <row r="34" spans="2:60">
      <c r="C34" s="16"/>
      <c r="D34" s="16"/>
      <c r="E34" s="16"/>
      <c r="F34" s="129"/>
      <c r="G34" s="129"/>
      <c r="H34" s="129"/>
      <c r="I34" s="129"/>
      <c r="J34" s="129" t="s">
        <v>69</v>
      </c>
      <c r="K34" s="129" t="s">
        <v>70</v>
      </c>
      <c r="L34" s="129" t="s">
        <v>71</v>
      </c>
      <c r="M34" s="16"/>
      <c r="N34" s="16"/>
      <c r="O34" s="16"/>
      <c r="P34" s="16"/>
      <c r="R34" s="16"/>
      <c r="S34" s="16"/>
      <c r="T34" s="16"/>
      <c r="V34" s="16"/>
      <c r="W34" s="16"/>
      <c r="X34" s="16"/>
      <c r="Y34" s="16"/>
      <c r="Z34" s="148" t="s">
        <v>135</v>
      </c>
      <c r="AA34" s="147">
        <v>-3941941</v>
      </c>
      <c r="AB34" s="147">
        <v>3368169</v>
      </c>
      <c r="AC34" s="147">
        <v>3702195</v>
      </c>
      <c r="AD34" s="147"/>
    </row>
    <row r="35" spans="2:60">
      <c r="C35" s="16" t="s">
        <v>68</v>
      </c>
      <c r="D35" s="16"/>
      <c r="E35" s="16"/>
      <c r="F35" s="129">
        <v>139.48827498</v>
      </c>
      <c r="G35" s="129">
        <v>35.710274630000001</v>
      </c>
      <c r="H35" s="129">
        <v>123.35599999999999</v>
      </c>
      <c r="I35" s="129"/>
      <c r="J35" s="129">
        <v>139.48827498</v>
      </c>
      <c r="K35" s="129">
        <v>35.710274630000001</v>
      </c>
      <c r="L35" s="129">
        <v>123.35599999999999</v>
      </c>
      <c r="M35" s="16" t="s">
        <v>15</v>
      </c>
      <c r="N35" s="124" t="s">
        <v>189</v>
      </c>
      <c r="O35" s="14" t="s">
        <v>188</v>
      </c>
      <c r="P35" s="14"/>
      <c r="R35" s="16"/>
      <c r="S35" s="16"/>
      <c r="T35" s="16"/>
      <c r="V35" s="16"/>
      <c r="W35" s="16"/>
      <c r="X35" s="16"/>
      <c r="Y35" s="16"/>
      <c r="AA35">
        <f>AA33-AA34</f>
        <v>-79.147799999918789</v>
      </c>
      <c r="AB35">
        <f>AB33-AB34</f>
        <v>-71.389899999834597</v>
      </c>
      <c r="AC35">
        <f>AC33-AC34</f>
        <v>-3.9799000001512468</v>
      </c>
    </row>
    <row r="36" spans="2:60">
      <c r="C36" s="16"/>
      <c r="D36" s="16"/>
      <c r="E36" s="16"/>
      <c r="F36" s="124"/>
      <c r="G36" s="124"/>
      <c r="H36" s="124"/>
      <c r="I36" s="129"/>
      <c r="J36" s="299">
        <f>-SIN(RADIANS(J35))</f>
        <v>-0.64960364436224893</v>
      </c>
      <c r="K36" s="299">
        <f>COS(RADIANS(J35))</f>
        <v>-0.76027304649795713</v>
      </c>
      <c r="L36" s="299">
        <v>0</v>
      </c>
      <c r="M36" s="16"/>
      <c r="N36" s="124" t="s">
        <v>5</v>
      </c>
      <c r="O36" s="14" t="s">
        <v>4</v>
      </c>
      <c r="P36" s="14" t="s">
        <v>6</v>
      </c>
      <c r="R36" s="14" t="s">
        <v>22</v>
      </c>
      <c r="S36" s="14" t="s">
        <v>23</v>
      </c>
      <c r="T36" s="14" t="s">
        <v>24</v>
      </c>
      <c r="V36" s="16"/>
      <c r="W36" s="16"/>
      <c r="X36" s="16"/>
      <c r="Y36" s="16"/>
    </row>
    <row r="37" spans="2:60">
      <c r="C37" s="16"/>
      <c r="D37" s="16"/>
      <c r="E37" s="16"/>
      <c r="F37" s="124"/>
      <c r="G37" s="124"/>
      <c r="H37" s="124"/>
      <c r="I37" s="129"/>
      <c r="J37" s="299">
        <f>-COS(RADIANS(J35))*SIN(RADIANS(K35))</f>
        <v>0.44376136426464086</v>
      </c>
      <c r="K37" s="299">
        <f>-SIN(RADIANS(J35))*SIN(RADIANS(K35))</f>
        <v>-0.37916509178028418</v>
      </c>
      <c r="L37" s="299">
        <f>COS(RADIANS(K35))</f>
        <v>0.81197886965193455</v>
      </c>
      <c r="M37" s="16"/>
      <c r="N37" s="210">
        <v>29099.4</v>
      </c>
      <c r="O37" s="169">
        <v>9545.9</v>
      </c>
      <c r="P37" s="169">
        <v>8984.2999999999993</v>
      </c>
      <c r="R37" s="169">
        <f t="array" ref="R37:T37">MMULT(N37:P37,J$36:L$38)</f>
        <v>-20213.213509233108</v>
      </c>
      <c r="S37" s="169">
        <v>-21004.062834644821</v>
      </c>
      <c r="T37" s="169">
        <v>12995.08667645001</v>
      </c>
      <c r="V37" s="16"/>
      <c r="W37" s="16"/>
      <c r="X37" s="16"/>
      <c r="Y37" s="16"/>
    </row>
    <row r="38" spans="2:60">
      <c r="C38" s="16"/>
      <c r="D38" s="16"/>
      <c r="E38" s="16"/>
      <c r="F38" s="124"/>
      <c r="G38" s="124"/>
      <c r="H38" s="124"/>
      <c r="I38" s="129"/>
      <c r="J38" s="299">
        <f>COS(RADIANS(J35))*COS(RADIANS(K35))</f>
        <v>-0.61732564892224395</v>
      </c>
      <c r="K38" s="299">
        <f>SIN(RADIANS(J35))*COS(RADIANS(K35))</f>
        <v>0.52746443287103617</v>
      </c>
      <c r="L38" s="299">
        <f>SIN(RADIANS(K35))</f>
        <v>0.58368682976298736</v>
      </c>
      <c r="M38" s="16"/>
      <c r="N38" s="8">
        <v>2</v>
      </c>
      <c r="O38" s="8">
        <v>2</v>
      </c>
      <c r="P38" s="8">
        <v>2</v>
      </c>
      <c r="R38" s="8">
        <v>2</v>
      </c>
      <c r="S38" s="8">
        <v>2</v>
      </c>
      <c r="T38" s="8">
        <v>2</v>
      </c>
      <c r="V38" s="16"/>
      <c r="W38" s="16"/>
      <c r="X38" s="16"/>
      <c r="Y38" s="16"/>
    </row>
    <row r="39" spans="2:60">
      <c r="C39" s="16"/>
      <c r="D39" s="16"/>
      <c r="E39" s="16"/>
      <c r="F39" s="129"/>
      <c r="G39" s="129"/>
      <c r="H39" s="129"/>
      <c r="I39" s="129"/>
      <c r="J39" s="16"/>
      <c r="K39" s="129"/>
      <c r="L39" s="129"/>
      <c r="M39" s="16"/>
      <c r="N39" s="16"/>
      <c r="O39" s="16"/>
      <c r="P39" s="16"/>
      <c r="R39" s="16"/>
      <c r="S39" s="16"/>
      <c r="T39" s="16"/>
      <c r="V39" s="16"/>
      <c r="W39" s="16"/>
      <c r="X39" s="16"/>
      <c r="Y39" s="16"/>
    </row>
    <row r="40" spans="2:60">
      <c r="C40" s="16"/>
      <c r="D40" s="16"/>
      <c r="E40" s="16"/>
      <c r="F40" s="129"/>
      <c r="G40" s="129"/>
      <c r="H40" s="129"/>
      <c r="I40" s="129"/>
      <c r="J40" s="16" t="s">
        <v>261</v>
      </c>
      <c r="K40" s="129" t="s">
        <v>263</v>
      </c>
      <c r="L40" s="129" t="s">
        <v>266</v>
      </c>
      <c r="M40" s="16"/>
      <c r="N40" s="8">
        <v>5.5</v>
      </c>
      <c r="O40" s="8">
        <v>6.5</v>
      </c>
      <c r="P40" s="8">
        <v>0.2</v>
      </c>
      <c r="R40" s="169">
        <f t="array" ref="R40:T40">MMULT(N40:P40,J$36:L$38)</f>
        <v>-0.81183630605665236</v>
      </c>
      <c r="S40" s="169">
        <v>-6.5405819657364042</v>
      </c>
      <c r="T40" s="169">
        <v>5.3946000186901726</v>
      </c>
      <c r="V40" s="16"/>
      <c r="W40" s="16"/>
      <c r="X40" s="16"/>
      <c r="Y40" s="16"/>
      <c r="BH40" s="196"/>
    </row>
    <row r="41" spans="2:60">
      <c r="C41" s="16"/>
      <c r="D41" s="16"/>
      <c r="E41" s="16"/>
      <c r="F41" s="129"/>
      <c r="G41" s="129"/>
      <c r="H41" s="129"/>
      <c r="I41" s="129"/>
      <c r="J41" s="16"/>
      <c r="K41" s="129" t="s">
        <v>263</v>
      </c>
      <c r="L41" s="129" t="s">
        <v>267</v>
      </c>
      <c r="M41" s="16"/>
      <c r="N41" s="8">
        <v>2</v>
      </c>
      <c r="O41" s="8">
        <v>4.5</v>
      </c>
      <c r="P41" s="8">
        <v>0.1</v>
      </c>
      <c r="R41" s="169">
        <f t="array" ref="R41:T41">MMULT(N41:P41,J$36:L$38)</f>
        <v>0.63598628557416159</v>
      </c>
      <c r="S41" s="169">
        <v>-3.1740425627200897</v>
      </c>
      <c r="T41" s="169">
        <v>3.7122735964100042</v>
      </c>
      <c r="V41" s="16"/>
      <c r="W41" s="16"/>
      <c r="X41" s="16"/>
      <c r="Y41" s="16"/>
      <c r="BH41" s="196"/>
    </row>
    <row r="42" spans="2:60">
      <c r="C42" s="16"/>
      <c r="D42" s="16"/>
      <c r="E42" s="16"/>
      <c r="F42" s="129"/>
      <c r="G42" s="129"/>
      <c r="H42" s="129"/>
      <c r="I42" s="129"/>
      <c r="J42" s="16"/>
      <c r="K42" s="129" t="s">
        <v>263</v>
      </c>
      <c r="L42" s="129" t="s">
        <v>268</v>
      </c>
      <c r="M42" s="16"/>
      <c r="N42" s="8">
        <v>1.8</v>
      </c>
      <c r="O42" s="8">
        <v>4.5</v>
      </c>
      <c r="P42" s="8">
        <v>0.2</v>
      </c>
      <c r="R42" s="169">
        <f t="array" ref="R42:T42">MMULT(N42:P42,J$36:L$38)</f>
        <v>0.70417444955438702</v>
      </c>
      <c r="S42" s="169">
        <v>-2.9692415101333944</v>
      </c>
      <c r="T42" s="169">
        <v>3.770642279386303</v>
      </c>
      <c r="V42" s="16"/>
      <c r="W42" s="16"/>
      <c r="X42" s="16"/>
      <c r="Y42" s="16"/>
      <c r="BH42" s="196"/>
    </row>
    <row r="43" spans="2:60">
      <c r="F43" s="130" t="s">
        <v>154</v>
      </c>
      <c r="G43" s="130"/>
      <c r="H43" s="130"/>
      <c r="J43" s="130"/>
      <c r="K43" s="130"/>
      <c r="L43" s="130"/>
      <c r="Z43" s="130" t="s">
        <v>154</v>
      </c>
    </row>
    <row r="44" spans="2:60" ht="18.75">
      <c r="B44" s="170"/>
      <c r="C44" s="2"/>
      <c r="D44" s="43"/>
      <c r="E44" s="2"/>
      <c r="F44" s="350" t="s">
        <v>9</v>
      </c>
      <c r="G44" s="350"/>
      <c r="H44" s="350"/>
      <c r="I44" s="131"/>
      <c r="J44" s="350" t="s">
        <v>10</v>
      </c>
      <c r="K44" s="350"/>
      <c r="L44" s="350"/>
      <c r="M44" s="2"/>
      <c r="N44" s="322" t="s">
        <v>11</v>
      </c>
      <c r="O44" s="323"/>
      <c r="P44" s="324"/>
      <c r="Q44" s="2"/>
      <c r="R44" s="322" t="s">
        <v>12</v>
      </c>
      <c r="S44" s="323"/>
      <c r="T44" s="324"/>
      <c r="U44" s="2"/>
      <c r="V44" s="322" t="s">
        <v>13</v>
      </c>
      <c r="W44" s="323"/>
      <c r="X44" s="324"/>
      <c r="Y44" s="119"/>
      <c r="AA44" s="178" t="s">
        <v>132</v>
      </c>
      <c r="AB44" s="124"/>
      <c r="AC44" s="124"/>
      <c r="AD44" s="129"/>
    </row>
    <row r="45" spans="2:60">
      <c r="C45" s="2" t="s">
        <v>75</v>
      </c>
      <c r="D45" s="43" t="s">
        <v>72</v>
      </c>
      <c r="E45" s="2"/>
      <c r="F45" s="124">
        <f>F31-F26</f>
        <v>24.019300000276417</v>
      </c>
      <c r="G45" s="124">
        <f>G31-G26</f>
        <v>2.3769999998621643</v>
      </c>
      <c r="H45" s="124">
        <f>H31-H26</f>
        <v>26.619099999777973</v>
      </c>
      <c r="I45" s="2" t="s">
        <v>75</v>
      </c>
      <c r="J45" s="124">
        <f>J31-J26</f>
        <v>24.021399999968708</v>
      </c>
      <c r="K45" s="124">
        <f>K31-K26</f>
        <v>2.3765000002458692</v>
      </c>
      <c r="L45" s="124">
        <f>L31-L26</f>
        <v>26.614200000185519</v>
      </c>
      <c r="M45" s="2"/>
      <c r="N45" s="14">
        <f>N31-N26</f>
        <v>24.023800000082701</v>
      </c>
      <c r="O45" s="14">
        <f>O31-O26</f>
        <v>2.3775000004097819</v>
      </c>
      <c r="P45" s="14">
        <f>P31-P26</f>
        <v>26.615300000179559</v>
      </c>
      <c r="Q45" s="2"/>
      <c r="R45" s="14">
        <f>R31-R26</f>
        <v>24.021900000050664</v>
      </c>
      <c r="S45" s="14">
        <f>S31-S26</f>
        <v>2.3753999997861683</v>
      </c>
      <c r="T45" s="14">
        <f>T31-T26</f>
        <v>26.617099999915808</v>
      </c>
      <c r="U45" s="2"/>
      <c r="V45" s="14">
        <f>V31-V26</f>
        <v>24.011399999726564</v>
      </c>
      <c r="W45" s="14">
        <f>W31-W26</f>
        <v>2.3820000002160668</v>
      </c>
      <c r="X45" s="14">
        <f>X31-X26</f>
        <v>26.624900000169873</v>
      </c>
      <c r="Y45" s="16"/>
      <c r="Z45" s="2" t="s">
        <v>75</v>
      </c>
      <c r="AA45" s="124">
        <f>AA31-AA26</f>
        <v>3.9390000002458692</v>
      </c>
      <c r="AB45" s="124">
        <f>AB31-AB26</f>
        <v>-18.641799999866635</v>
      </c>
      <c r="AC45" s="124">
        <f>AC31-AC26</f>
        <v>39.576799999922514</v>
      </c>
      <c r="AD45" s="129"/>
    </row>
    <row r="46" spans="2:60">
      <c r="C46" s="2" t="s">
        <v>130</v>
      </c>
      <c r="D46" s="43"/>
      <c r="E46" s="2"/>
      <c r="F46" s="124">
        <f>F31-F27</f>
        <v>3.7331000003032386</v>
      </c>
      <c r="G46" s="124">
        <f>G31-G27</f>
        <v>-18.566399999894202</v>
      </c>
      <c r="H46" s="124">
        <f>H31-H27</f>
        <v>39.684799999929965</v>
      </c>
      <c r="I46" s="2"/>
      <c r="J46" s="124">
        <f>J31-J27</f>
        <v>3.7335999999195337</v>
      </c>
      <c r="K46" s="124">
        <f>K31-K27</f>
        <v>-18.562899999786168</v>
      </c>
      <c r="L46" s="124">
        <f>L31-L27</f>
        <v>39.680800000205636</v>
      </c>
      <c r="M46" s="2"/>
      <c r="N46" s="124">
        <f>N31-N27</f>
        <v>3.7313000001013279</v>
      </c>
      <c r="O46" s="124">
        <f>O31-O27</f>
        <v>-18.562199999578297</v>
      </c>
      <c r="P46" s="124">
        <f>P31-P27</f>
        <v>39.680700000375509</v>
      </c>
      <c r="Q46" s="2"/>
      <c r="R46" s="124">
        <f>R31-R27</f>
        <v>3.731799999717623</v>
      </c>
      <c r="S46" s="124">
        <f>S31-S27</f>
        <v>-18.564199999906123</v>
      </c>
      <c r="T46" s="124">
        <f>T31-T27</f>
        <v>39.678700000047684</v>
      </c>
      <c r="U46" s="7"/>
      <c r="V46" s="124">
        <f>V31-V27</f>
        <v>3.7286000000312924</v>
      </c>
      <c r="W46" s="124">
        <f>W31-W27</f>
        <v>-18.565100000239909</v>
      </c>
      <c r="X46" s="124">
        <f>X31-X27</f>
        <v>39.678600000217557</v>
      </c>
      <c r="Y46" s="16"/>
      <c r="Z46" s="2"/>
      <c r="AA46" s="124"/>
      <c r="AB46" s="124"/>
      <c r="AC46" s="124"/>
      <c r="AD46" s="129"/>
    </row>
    <row r="47" spans="2:60">
      <c r="C47" s="2" t="s">
        <v>143</v>
      </c>
      <c r="D47" s="43"/>
      <c r="E47" s="2"/>
      <c r="F47" s="124">
        <f>F31-F28</f>
        <v>3.8072000001557171</v>
      </c>
      <c r="G47" s="124">
        <f>G31-G28</f>
        <v>-18.6296999999322</v>
      </c>
      <c r="H47" s="124">
        <f>H31-H28</f>
        <v>39.614699999801815</v>
      </c>
      <c r="I47" s="2"/>
      <c r="J47" s="124">
        <f>J31-J28</f>
        <v>3.8076999997720122</v>
      </c>
      <c r="K47" s="124">
        <f>K31-K28</f>
        <v>-18.626199999824166</v>
      </c>
      <c r="L47" s="124">
        <f>L31-L28</f>
        <v>39.610700000077486</v>
      </c>
      <c r="M47" s="2"/>
      <c r="N47" s="124">
        <f>N31-N28</f>
        <v>3.8053999999538064</v>
      </c>
      <c r="O47" s="124">
        <f>O31-O28</f>
        <v>-18.625499999616295</v>
      </c>
      <c r="P47" s="124">
        <f>P31-P28</f>
        <v>39.610700000077486</v>
      </c>
      <c r="Q47" s="2"/>
      <c r="R47" s="124">
        <f>R31-R28</f>
        <v>3.8059000000357628</v>
      </c>
      <c r="S47" s="124">
        <f>S31-S28</f>
        <v>-18.627499999944121</v>
      </c>
      <c r="T47" s="124">
        <f>T31-T28</f>
        <v>39.608700000215322</v>
      </c>
      <c r="U47" s="7"/>
      <c r="V47" s="124">
        <f>V31-V28</f>
        <v>3.8026999998837709</v>
      </c>
      <c r="W47" s="124">
        <f>W31-W28</f>
        <v>-18.628399999812245</v>
      </c>
      <c r="X47" s="124">
        <f>X31-X28</f>
        <v>39.589300000108778</v>
      </c>
      <c r="Y47" s="16"/>
      <c r="Z47" s="2"/>
      <c r="AA47" s="124"/>
      <c r="AB47" s="124"/>
      <c r="AC47" s="124"/>
      <c r="AD47" s="129"/>
      <c r="BH47" s="156"/>
    </row>
    <row r="48" spans="2:60">
      <c r="C48" s="2" t="s">
        <v>120</v>
      </c>
      <c r="D48" s="43"/>
      <c r="E48" s="2"/>
      <c r="F48" s="124">
        <f>F31-F33</f>
        <v>82.701500000432134</v>
      </c>
      <c r="G48" s="124">
        <f>G31-G33</f>
        <v>53.316899999976158</v>
      </c>
      <c r="H48" s="124">
        <f>H31-H33</f>
        <v>44.256199999712408</v>
      </c>
      <c r="I48" s="2"/>
      <c r="J48" s="2"/>
      <c r="K48" s="124"/>
      <c r="L48" s="124"/>
      <c r="M48" s="2"/>
      <c r="N48" s="14"/>
      <c r="O48" s="14"/>
      <c r="P48" s="14"/>
      <c r="Q48" s="2"/>
      <c r="R48" s="124">
        <f>R31-R33</f>
        <v>82.705099999904633</v>
      </c>
      <c r="S48" s="124">
        <f>S31-S33</f>
        <v>53.317300000227988</v>
      </c>
      <c r="T48" s="124">
        <f>T31-T33</f>
        <v>44.24460000032559</v>
      </c>
      <c r="U48" s="7"/>
      <c r="V48" s="14"/>
      <c r="W48" s="14"/>
      <c r="X48" s="14"/>
      <c r="Y48" s="16"/>
      <c r="Z48" s="2" t="s">
        <v>120</v>
      </c>
      <c r="AA48" s="124">
        <f>AA31-AA33</f>
        <v>82.838800000026822</v>
      </c>
      <c r="AB48" s="124">
        <f>AB31-AB33</f>
        <v>53.299699999857694</v>
      </c>
      <c r="AC48" s="124">
        <f>AC31-AC33</f>
        <v>44.21570000005886</v>
      </c>
      <c r="AD48" s="129"/>
    </row>
    <row r="49" spans="3:70">
      <c r="C49" s="2" t="s">
        <v>63</v>
      </c>
      <c r="D49" s="43"/>
      <c r="E49" s="2"/>
      <c r="F49" s="124">
        <f>F29-F31</f>
        <v>-11.710500000044703</v>
      </c>
      <c r="G49" s="124">
        <f>G29-G31</f>
        <v>5.4234000002034009</v>
      </c>
      <c r="H49" s="124">
        <f>H29-H31</f>
        <v>-20.439400000032037</v>
      </c>
      <c r="I49" s="2" t="s">
        <v>63</v>
      </c>
      <c r="J49" s="124">
        <f>J29-J31</f>
        <v>-11.752099999692291</v>
      </c>
      <c r="K49" s="124">
        <f t="shared" ref="K49:L49" si="5">K29-K31</f>
        <v>5.4583999998867512</v>
      </c>
      <c r="L49" s="124">
        <f t="shared" si="5"/>
        <v>-20.398700000252575</v>
      </c>
      <c r="M49" s="2"/>
      <c r="N49" s="14">
        <f>N29-N31</f>
        <v>-11.752299999818206</v>
      </c>
      <c r="O49" s="14">
        <f t="shared" ref="O49:P49" si="6">O29-O31</f>
        <v>5.4570999997667968</v>
      </c>
      <c r="P49" s="14">
        <f t="shared" si="6"/>
        <v>-20.399300000164658</v>
      </c>
      <c r="Q49" s="2" t="s">
        <v>15</v>
      </c>
      <c r="R49" s="14"/>
      <c r="S49" s="14"/>
      <c r="T49" s="14"/>
      <c r="V49" s="14"/>
      <c r="W49" s="14"/>
      <c r="X49" s="14"/>
      <c r="Y49" s="16"/>
      <c r="Z49" s="2" t="s">
        <v>63</v>
      </c>
      <c r="AA49" s="124">
        <f>AA29-AA31</f>
        <v>-11.850099999923259</v>
      </c>
      <c r="AB49" s="124">
        <f t="shared" ref="AB49:AC49" si="7">AB29-AB31</f>
        <v>5.4444999997504056</v>
      </c>
      <c r="AC49" s="124">
        <f t="shared" si="7"/>
        <v>-20.415399999823421</v>
      </c>
      <c r="AD49" s="129"/>
    </row>
    <row r="50" spans="3:70">
      <c r="C50" s="6"/>
      <c r="D50" s="1"/>
      <c r="E50" s="1"/>
      <c r="F50" s="132"/>
      <c r="G50" s="133"/>
      <c r="H50" s="133"/>
      <c r="I50" s="1"/>
      <c r="J50" s="132">
        <f>J49*1000</f>
        <v>-11752.099999692291</v>
      </c>
      <c r="K50" s="133">
        <f>K49*1000</f>
        <v>5458.3999998867512</v>
      </c>
      <c r="L50" s="133">
        <f>L49*1000</f>
        <v>-20398.700000252575</v>
      </c>
      <c r="M50" s="6"/>
      <c r="N50" s="15">
        <f>N49*1000</f>
        <v>-11752.299999818206</v>
      </c>
      <c r="O50" s="6">
        <f>O49*1000</f>
        <v>5457.0999997667968</v>
      </c>
      <c r="P50" s="6">
        <f>P49*1000</f>
        <v>-20399.300000164658</v>
      </c>
      <c r="Q50" s="6" t="s">
        <v>16</v>
      </c>
      <c r="R50" s="15"/>
      <c r="S50" s="6"/>
      <c r="T50" s="6"/>
      <c r="V50" s="15"/>
      <c r="W50" s="6"/>
      <c r="X50" s="6"/>
      <c r="Y50" s="8"/>
      <c r="Z50" s="1"/>
      <c r="AA50" s="132"/>
      <c r="AB50" s="133"/>
      <c r="AC50" s="133"/>
      <c r="AD50" s="157"/>
    </row>
    <row r="51" spans="3:70">
      <c r="C51" s="2" t="s">
        <v>64</v>
      </c>
      <c r="D51" s="43"/>
      <c r="E51" s="2"/>
      <c r="F51" s="124">
        <f>F29-F26</f>
        <v>12.308800000231713</v>
      </c>
      <c r="G51" s="124">
        <f>G29-G26</f>
        <v>7.8004000000655651</v>
      </c>
      <c r="H51" s="124">
        <f>H29-H26</f>
        <v>6.1796999997459352</v>
      </c>
      <c r="I51" s="2" t="s">
        <v>64</v>
      </c>
      <c r="J51" s="124">
        <f>J29-J26</f>
        <v>12.269300000276417</v>
      </c>
      <c r="K51" s="124">
        <f t="shared" ref="K51:L51" si="8">K29-K26</f>
        <v>7.8349000001326203</v>
      </c>
      <c r="L51" s="124">
        <f t="shared" si="8"/>
        <v>6.2154999999329448</v>
      </c>
      <c r="M51" s="2"/>
      <c r="N51" s="14">
        <f>N29-N26</f>
        <v>12.271500000264496</v>
      </c>
      <c r="O51" s="14">
        <f t="shared" ref="O51:P51" si="9">O29-O26</f>
        <v>7.8346000001765788</v>
      </c>
      <c r="P51" s="14">
        <f t="shared" si="9"/>
        <v>6.2160000000149012</v>
      </c>
      <c r="Q51" s="2" t="s">
        <v>15</v>
      </c>
      <c r="R51" s="14"/>
      <c r="S51" s="14"/>
      <c r="T51" s="14"/>
      <c r="V51" s="14"/>
      <c r="W51" s="14"/>
      <c r="X51" s="14"/>
      <c r="Y51" s="16"/>
      <c r="Z51" s="2" t="s">
        <v>64</v>
      </c>
      <c r="AA51" s="124">
        <f>AA29-AA26</f>
        <v>-7.9110999996773899</v>
      </c>
      <c r="AB51" s="124">
        <f t="shared" ref="AB51:AC51" si="10">AB29-AB26</f>
        <v>-13.197300000116229</v>
      </c>
      <c r="AC51" s="124">
        <f t="shared" si="10"/>
        <v>19.161400000099093</v>
      </c>
      <c r="AD51" s="129"/>
    </row>
    <row r="52" spans="3:70">
      <c r="C52" s="2" t="s">
        <v>131</v>
      </c>
      <c r="D52" s="43"/>
      <c r="E52" s="2"/>
      <c r="F52" s="124">
        <f>F29-F27</f>
        <v>-7.9773999997414649</v>
      </c>
      <c r="G52" s="124">
        <f>G29-G27</f>
        <v>-13.142999999690801</v>
      </c>
      <c r="H52" s="124">
        <f>H29-H27</f>
        <v>19.245399999897927</v>
      </c>
      <c r="I52" s="2" t="s">
        <v>64</v>
      </c>
      <c r="J52" s="124">
        <f>J29-J27</f>
        <v>-8.0184999997727573</v>
      </c>
      <c r="K52" s="124">
        <f>K29-K27</f>
        <v>-13.104499999899417</v>
      </c>
      <c r="L52" s="124">
        <f>L29-L27</f>
        <v>19.282099999953061</v>
      </c>
      <c r="M52" s="2"/>
      <c r="N52" s="124">
        <f>N29-N27</f>
        <v>-8.0209999997168779</v>
      </c>
      <c r="O52" s="124">
        <f>O29-O27</f>
        <v>-13.1050999998115</v>
      </c>
      <c r="P52" s="124">
        <f>P29-P27</f>
        <v>19.281400000210851</v>
      </c>
      <c r="Q52" s="2" t="s">
        <v>15</v>
      </c>
      <c r="R52" s="124"/>
      <c r="S52" s="124"/>
      <c r="T52" s="124"/>
      <c r="V52" s="124"/>
      <c r="W52" s="124"/>
      <c r="X52" s="124"/>
      <c r="Y52" s="16"/>
      <c r="Z52" s="2" t="s">
        <v>121</v>
      </c>
      <c r="AA52" s="124">
        <f>AA29-AA33</f>
        <v>70.988700000103563</v>
      </c>
      <c r="AB52" s="124">
        <f>AB29-AB33</f>
        <v>58.744199999608099</v>
      </c>
      <c r="AC52" s="124">
        <f>AC29-AC33</f>
        <v>23.800300000235438</v>
      </c>
      <c r="AD52" s="129"/>
    </row>
    <row r="53" spans="3:70">
      <c r="C53" s="2" t="s">
        <v>144</v>
      </c>
      <c r="D53" s="43"/>
      <c r="E53" s="2"/>
      <c r="F53" s="124">
        <f>F29-F28</f>
        <v>-7.9032999998889863</v>
      </c>
      <c r="G53" s="124">
        <f>G29-G28</f>
        <v>-13.206299999728799</v>
      </c>
      <c r="H53" s="124">
        <f>H29-H28</f>
        <v>19.175299999769777</v>
      </c>
      <c r="I53" s="2"/>
      <c r="J53" s="124">
        <f>J29-J28</f>
        <v>-7.9443999999202788</v>
      </c>
      <c r="K53" s="124">
        <f>K29-K28</f>
        <v>-13.167799999937415</v>
      </c>
      <c r="L53" s="124">
        <f>L29-L28</f>
        <v>19.211999999824911</v>
      </c>
      <c r="M53" s="2"/>
      <c r="N53" s="124">
        <f>N29-N28</f>
        <v>-7.9468999998643994</v>
      </c>
      <c r="O53" s="124">
        <f>O29-O28</f>
        <v>-13.168399999849498</v>
      </c>
      <c r="P53" s="124">
        <f>P29-P28</f>
        <v>19.211399999912828</v>
      </c>
      <c r="Q53" s="2"/>
      <c r="R53" s="124"/>
      <c r="S53" s="124"/>
      <c r="T53" s="124"/>
      <c r="V53" s="124"/>
      <c r="W53" s="124"/>
      <c r="X53" s="124"/>
      <c r="Y53" s="16"/>
      <c r="Z53" s="144" t="s">
        <v>150</v>
      </c>
      <c r="AA53" s="124">
        <f>AA33-AA26</f>
        <v>-78.899799999780953</v>
      </c>
      <c r="AB53" s="124">
        <f>AB33-AB26</f>
        <v>-71.941499999724329</v>
      </c>
      <c r="AC53" s="124">
        <f>AC33-AC26</f>
        <v>-4.6389000001363456</v>
      </c>
      <c r="AD53" s="129"/>
      <c r="BH53" s="156"/>
    </row>
    <row r="54" spans="3:70">
      <c r="C54" s="2" t="s">
        <v>121</v>
      </c>
      <c r="D54" s="43"/>
      <c r="E54" s="2"/>
      <c r="F54" s="124">
        <f>F33-F29</f>
        <v>-70.99100000038743</v>
      </c>
      <c r="G54" s="124">
        <f>G33-G29</f>
        <v>-58.740300000179559</v>
      </c>
      <c r="H54" s="124">
        <f>H33-H29</f>
        <v>-23.81679999968037</v>
      </c>
      <c r="I54" s="131"/>
      <c r="J54" s="124"/>
      <c r="K54" s="124"/>
      <c r="L54" s="124"/>
      <c r="M54" s="2"/>
      <c r="N54" s="124"/>
      <c r="O54" s="124"/>
      <c r="P54" s="124"/>
      <c r="Q54" s="2" t="s">
        <v>15</v>
      </c>
      <c r="R54" s="124"/>
      <c r="S54" s="124"/>
      <c r="T54" s="124"/>
      <c r="V54" s="6"/>
      <c r="W54" s="6"/>
      <c r="X54" s="6"/>
      <c r="Y54" s="8"/>
      <c r="Z54" s="2"/>
      <c r="AA54" s="133"/>
      <c r="AB54" s="133"/>
      <c r="AC54" s="133"/>
      <c r="AD54" s="157"/>
    </row>
    <row r="55" spans="3:70">
      <c r="C55" s="160" t="s">
        <v>151</v>
      </c>
      <c r="D55" s="7"/>
      <c r="E55" s="7"/>
      <c r="F55" s="124">
        <f>F33-F28</f>
        <v>-78.894300000276417</v>
      </c>
      <c r="G55" s="124">
        <f>G33-G28</f>
        <v>-71.946599999908358</v>
      </c>
      <c r="H55" s="124">
        <f>H33-H28</f>
        <v>-4.641499999910593</v>
      </c>
      <c r="I55" s="134"/>
      <c r="J55" s="129"/>
      <c r="K55" s="129"/>
      <c r="L55" s="129"/>
      <c r="M55" s="7"/>
      <c r="N55" s="129"/>
      <c r="O55" s="129"/>
      <c r="P55" s="129"/>
      <c r="Q55" s="7"/>
      <c r="R55" s="124">
        <f>R33-R28</f>
        <v>-78.89919999986887</v>
      </c>
      <c r="S55" s="124">
        <f>S33-S28</f>
        <v>-71.944800000172108</v>
      </c>
      <c r="T55" s="124">
        <f>T33-T28</f>
        <v>-4.6359000001102686</v>
      </c>
      <c r="V55" s="8"/>
      <c r="W55" s="8"/>
      <c r="X55" s="8"/>
      <c r="Y55" s="8"/>
      <c r="Z55" s="7"/>
      <c r="AA55" s="157"/>
      <c r="AB55" s="157"/>
      <c r="AC55" s="157"/>
      <c r="AD55" s="157"/>
      <c r="BH55" s="161"/>
    </row>
    <row r="56" spans="3:70">
      <c r="C56" s="160" t="s">
        <v>158</v>
      </c>
      <c r="D56" s="7"/>
      <c r="E56" s="7"/>
      <c r="F56" s="129">
        <f>F26-F28</f>
        <v>-20.212100000120699</v>
      </c>
      <c r="G56" s="129">
        <f>G26-G28</f>
        <v>-21.006699999794364</v>
      </c>
      <c r="H56" s="129">
        <f>H26-H28</f>
        <v>12.995600000023842</v>
      </c>
      <c r="I56" s="134"/>
      <c r="J56" s="129">
        <f>J26-J28</f>
        <v>-20.213700000196695</v>
      </c>
      <c r="K56" s="129">
        <f>K26-K28</f>
        <v>-21.002700000070035</v>
      </c>
      <c r="L56" s="129">
        <f>L26-L28</f>
        <v>12.996499999891967</v>
      </c>
      <c r="M56" s="7"/>
      <c r="N56" s="129">
        <f>N26-N28</f>
        <v>-20.218400000128895</v>
      </c>
      <c r="O56" s="129">
        <f>O26-O28</f>
        <v>-21.003000000026077</v>
      </c>
      <c r="P56" s="129">
        <f>P26-P28</f>
        <v>12.995399999897927</v>
      </c>
      <c r="Q56" s="7"/>
      <c r="R56" s="129">
        <f>R26-R28</f>
        <v>-20.216000000014901</v>
      </c>
      <c r="S56" s="129">
        <f>S26-S28</f>
        <v>-21.002899999730289</v>
      </c>
      <c r="T56" s="129">
        <f>T26-T28</f>
        <v>12.991600000299513</v>
      </c>
      <c r="V56" s="129">
        <f>V26-V28</f>
        <v>-20.208699999842793</v>
      </c>
      <c r="W56" s="129">
        <f>W26-W28</f>
        <v>-21.010400000028312</v>
      </c>
      <c r="X56" s="129">
        <f>X26-X28</f>
        <v>12.964399999938905</v>
      </c>
      <c r="Y56" s="8"/>
      <c r="Z56" s="7"/>
      <c r="AA56" s="157"/>
      <c r="AB56" s="157"/>
      <c r="AC56" s="157"/>
      <c r="AD56" s="157"/>
      <c r="BH56" s="166"/>
    </row>
    <row r="57" spans="3:70">
      <c r="C57" s="144" t="s">
        <v>157</v>
      </c>
      <c r="D57" s="7"/>
      <c r="E57" s="7"/>
      <c r="F57" s="129">
        <v>-20.213000000000001</v>
      </c>
      <c r="G57" s="129">
        <v>-21.004000000000001</v>
      </c>
      <c r="H57" s="129">
        <v>12.994999999999999</v>
      </c>
      <c r="I57" s="134"/>
      <c r="J57" s="129"/>
      <c r="K57" s="129"/>
      <c r="L57" s="129"/>
      <c r="M57" s="7"/>
      <c r="N57" s="129"/>
      <c r="O57" s="129"/>
      <c r="P57" s="129"/>
      <c r="Q57" s="7"/>
      <c r="R57" s="129"/>
      <c r="S57" s="129"/>
      <c r="T57" s="129"/>
      <c r="V57" s="129"/>
      <c r="W57" s="129"/>
      <c r="X57" s="129"/>
      <c r="Y57" s="8"/>
      <c r="Z57" s="7"/>
      <c r="AA57" s="157"/>
      <c r="AB57" s="157"/>
      <c r="AC57" s="157"/>
      <c r="AD57" s="157"/>
      <c r="BH57" s="166"/>
    </row>
    <row r="58" spans="3:70">
      <c r="C58" s="211" t="s">
        <v>190</v>
      </c>
      <c r="D58" s="212"/>
      <c r="E58" s="212"/>
      <c r="F58" s="213">
        <f>R37*0.001</f>
        <v>-20.213213509233107</v>
      </c>
      <c r="G58" s="213">
        <f>S37*0.001</f>
        <v>-21.00406283464482</v>
      </c>
      <c r="H58" s="213">
        <f>T37*0.001</f>
        <v>12.995086676450009</v>
      </c>
      <c r="I58" s="134"/>
      <c r="J58" s="129"/>
      <c r="K58" s="129"/>
      <c r="L58" s="129"/>
      <c r="M58" s="7"/>
      <c r="N58" s="129"/>
      <c r="O58" s="129"/>
      <c r="P58" s="129"/>
      <c r="Q58" s="7"/>
      <c r="R58" s="129"/>
      <c r="S58" s="129"/>
      <c r="T58" s="129"/>
      <c r="V58" s="129"/>
      <c r="W58" s="129"/>
      <c r="X58" s="129"/>
      <c r="Y58" s="8"/>
      <c r="Z58" s="7"/>
      <c r="AA58" s="157"/>
      <c r="AB58" s="157"/>
      <c r="AC58" s="157"/>
      <c r="AD58" s="157"/>
      <c r="BH58" s="196"/>
    </row>
    <row r="59" spans="3:70">
      <c r="F59" s="130"/>
      <c r="G59" s="130"/>
      <c r="H59" s="130"/>
      <c r="J59" s="130"/>
      <c r="K59" s="130"/>
      <c r="L59" s="130"/>
    </row>
    <row r="60" spans="3:70" ht="18.75">
      <c r="C60" s="31" t="s">
        <v>155</v>
      </c>
      <c r="F60" s="130"/>
      <c r="G60" s="130"/>
      <c r="H60" s="130"/>
      <c r="J60" s="130"/>
      <c r="K60" s="130"/>
      <c r="L60" s="130"/>
      <c r="N60" s="3"/>
      <c r="O60" s="3"/>
      <c r="P60" s="3"/>
      <c r="R60" s="3"/>
      <c r="S60" s="3"/>
      <c r="T60" s="3"/>
      <c r="V60" s="3"/>
      <c r="W60" s="3"/>
      <c r="X60" s="3"/>
      <c r="Y60" s="3"/>
      <c r="AA60" s="178" t="s">
        <v>132</v>
      </c>
    </row>
    <row r="61" spans="3:70" ht="15.75" thickBot="1">
      <c r="C61" s="2"/>
      <c r="D61" s="2"/>
      <c r="E61" s="2"/>
      <c r="F61" s="350" t="s">
        <v>9</v>
      </c>
      <c r="G61" s="350"/>
      <c r="H61" s="350"/>
      <c r="I61" s="131"/>
      <c r="J61" s="350" t="s">
        <v>10</v>
      </c>
      <c r="K61" s="350"/>
      <c r="L61" s="350"/>
      <c r="M61" s="2"/>
      <c r="N61" s="322" t="s">
        <v>11</v>
      </c>
      <c r="O61" s="323"/>
      <c r="P61" s="324"/>
      <c r="Q61" s="2"/>
      <c r="R61" s="322" t="s">
        <v>12</v>
      </c>
      <c r="S61" s="323"/>
      <c r="T61" s="324"/>
      <c r="U61" s="2"/>
      <c r="V61" s="322" t="s">
        <v>13</v>
      </c>
      <c r="W61" s="323"/>
      <c r="X61" s="324"/>
      <c r="Y61" s="119"/>
      <c r="Z61" s="31" t="s">
        <v>155</v>
      </c>
      <c r="AE61" t="s">
        <v>118</v>
      </c>
      <c r="AG61" t="s">
        <v>16</v>
      </c>
      <c r="AJ61" t="s">
        <v>117</v>
      </c>
      <c r="AL61" t="s">
        <v>16</v>
      </c>
      <c r="AN61" t="s">
        <v>116</v>
      </c>
      <c r="AP61" t="s">
        <v>16</v>
      </c>
      <c r="AR61" t="s">
        <v>125</v>
      </c>
      <c r="AT61" t="s">
        <v>16</v>
      </c>
      <c r="AV61" t="s">
        <v>133</v>
      </c>
      <c r="AX61" t="s">
        <v>16</v>
      </c>
      <c r="BA61" s="315" t="s">
        <v>127</v>
      </c>
      <c r="BB61" s="315"/>
      <c r="BC61" s="315"/>
      <c r="BE61" s="315" t="s">
        <v>126</v>
      </c>
      <c r="BF61" s="315"/>
      <c r="BG61" s="315"/>
      <c r="BH61" s="140" t="s">
        <v>4</v>
      </c>
      <c r="BJ61" s="146"/>
      <c r="BK61" s="314" t="s">
        <v>127</v>
      </c>
      <c r="BL61" s="314"/>
      <c r="BM61" s="314"/>
      <c r="BN61" s="146"/>
      <c r="BO61" s="354" t="s">
        <v>126</v>
      </c>
      <c r="BP61" s="355"/>
      <c r="BQ61" s="356"/>
      <c r="BR61" s="139" t="s">
        <v>4</v>
      </c>
    </row>
    <row r="62" spans="3:70">
      <c r="C62" s="2"/>
      <c r="D62" s="2"/>
      <c r="E62" s="2"/>
      <c r="F62" s="124" t="s">
        <v>5</v>
      </c>
      <c r="G62" s="124" t="s">
        <v>4</v>
      </c>
      <c r="H62" s="124" t="s">
        <v>6</v>
      </c>
      <c r="I62" s="124" t="s">
        <v>15</v>
      </c>
      <c r="J62" s="124" t="s">
        <v>5</v>
      </c>
      <c r="K62" s="124" t="s">
        <v>4</v>
      </c>
      <c r="L62" s="124" t="s">
        <v>6</v>
      </c>
      <c r="M62" s="14" t="s">
        <v>15</v>
      </c>
      <c r="N62" s="14" t="s">
        <v>5</v>
      </c>
      <c r="O62" s="14" t="s">
        <v>4</v>
      </c>
      <c r="P62" s="14" t="s">
        <v>6</v>
      </c>
      <c r="Q62" s="14" t="s">
        <v>15</v>
      </c>
      <c r="R62" s="14" t="s">
        <v>5</v>
      </c>
      <c r="S62" s="14" t="s">
        <v>4</v>
      </c>
      <c r="T62" s="14" t="s">
        <v>6</v>
      </c>
      <c r="U62" s="14" t="s">
        <v>15</v>
      </c>
      <c r="V62" s="14" t="s">
        <v>5</v>
      </c>
      <c r="W62" s="14" t="s">
        <v>4</v>
      </c>
      <c r="X62" s="14" t="s">
        <v>6</v>
      </c>
      <c r="Y62" s="16"/>
      <c r="Z62" s="44" t="s">
        <v>15</v>
      </c>
      <c r="AA62" s="25" t="s">
        <v>5</v>
      </c>
      <c r="AB62" s="25" t="s">
        <v>4</v>
      </c>
      <c r="AC62" s="26" t="s">
        <v>6</v>
      </c>
      <c r="AD62" s="42" t="s">
        <v>15</v>
      </c>
      <c r="AE62" s="14" t="s">
        <v>5</v>
      </c>
      <c r="AF62" s="124" t="s">
        <v>4</v>
      </c>
      <c r="AG62" s="124" t="s">
        <v>6</v>
      </c>
      <c r="AJ62" s="14" t="s">
        <v>5</v>
      </c>
      <c r="AK62" s="124" t="s">
        <v>4</v>
      </c>
      <c r="AL62" s="124" t="s">
        <v>6</v>
      </c>
      <c r="AN62" s="14" t="s">
        <v>5</v>
      </c>
      <c r="AO62" s="124" t="s">
        <v>4</v>
      </c>
      <c r="AP62" s="124" t="s">
        <v>6</v>
      </c>
      <c r="AR62" s="14" t="s">
        <v>5</v>
      </c>
      <c r="AS62" s="124" t="s">
        <v>4</v>
      </c>
      <c r="AT62" s="124" t="s">
        <v>6</v>
      </c>
      <c r="AV62" s="14" t="s">
        <v>5</v>
      </c>
      <c r="AW62" s="124" t="s">
        <v>4</v>
      </c>
      <c r="AX62" s="124" t="s">
        <v>6</v>
      </c>
      <c r="BA62" s="151" t="s">
        <v>5</v>
      </c>
      <c r="BB62" s="152" t="s">
        <v>4</v>
      </c>
      <c r="BC62" s="152" t="s">
        <v>6</v>
      </c>
      <c r="BD62" s="9"/>
      <c r="BE62" s="151" t="s">
        <v>5</v>
      </c>
      <c r="BF62" s="152" t="s">
        <v>4</v>
      </c>
      <c r="BG62" s="152" t="s">
        <v>6</v>
      </c>
      <c r="BH62" s="153"/>
      <c r="BJ62" s="146"/>
      <c r="BK62" s="151" t="s">
        <v>5</v>
      </c>
      <c r="BL62" s="152" t="s">
        <v>4</v>
      </c>
      <c r="BM62" s="152" t="s">
        <v>6</v>
      </c>
      <c r="BN62" s="9"/>
      <c r="BO62" s="151" t="s">
        <v>5</v>
      </c>
      <c r="BP62" s="152" t="s">
        <v>4</v>
      </c>
      <c r="BQ62" s="152" t="s">
        <v>6</v>
      </c>
      <c r="BR62" s="153"/>
    </row>
    <row r="63" spans="3:70">
      <c r="C63" s="2" t="s">
        <v>75</v>
      </c>
      <c r="D63" s="2"/>
      <c r="E63" s="2"/>
      <c r="F63" s="124">
        <f t="array" ref="F63:H63">MMULT(F45:H45,TRANSPOSE($J$36:$L$38))</f>
        <v>-17.410193846630577</v>
      </c>
      <c r="G63" s="124">
        <v>31.371708642666409</v>
      </c>
      <c r="H63" s="124">
        <v>1.9632710875473993</v>
      </c>
      <c r="I63" s="131"/>
      <c r="J63" s="124">
        <f t="array" ref="J63:L63">MMULT(J45:L45,TRANSPOSE($J$36:$L$38))</f>
        <v>-17.411177877852321</v>
      </c>
      <c r="K63" s="124">
        <v>31.368851427664843</v>
      </c>
      <c r="L63" s="124">
        <v>1.9588509066326143</v>
      </c>
      <c r="M63" s="2"/>
      <c r="N63" s="14">
        <f t="array" ref="N63:P63">MMULT(N45:P45,TRANSPOSE($J$36:$L$38))</f>
        <v>-17.41349719984396</v>
      </c>
      <c r="O63" s="14">
        <v>31.370430466587511</v>
      </c>
      <c r="P63" s="14">
        <v>1.95853884503342</v>
      </c>
      <c r="Q63" s="2"/>
      <c r="R63" s="14">
        <f t="array" ref="R63:T63">MMULT(R45:T45,TRANSPOSE($J$36:$L$38))</f>
        <v>-17.410666379027095</v>
      </c>
      <c r="S63" s="14">
        <v>31.371845128661597</v>
      </c>
      <c r="T63" s="14">
        <v>1.9596547242878124</v>
      </c>
      <c r="U63" s="2"/>
      <c r="V63" s="14">
        <f t="array" ref="V63:X63">MMULT(V45:X45,TRANSPOSE($J$36:$L$38))</f>
        <v>-17.408863342984482</v>
      </c>
      <c r="W63" s="14">
        <v>31.371016579813819</v>
      </c>
      <c r="X63" s="14">
        <v>1.9741706667057208</v>
      </c>
      <c r="Y63" s="16"/>
      <c r="Z63" s="20" t="s">
        <v>75</v>
      </c>
      <c r="AA63" s="2">
        <f t="array" ref="AA63:AC63">MMULT(AA45:AC45,TRANSPOSE($J$36:$L$38))</f>
        <v>11.614069322801608</v>
      </c>
      <c r="AB63" s="2">
        <v>40.951821150224433</v>
      </c>
      <c r="AC63" s="21">
        <v>10.835924728237135</v>
      </c>
      <c r="AD63" s="43" t="s">
        <v>75</v>
      </c>
      <c r="AE63" s="6">
        <f>($AA63-F63)*1000</f>
        <v>29024.263169432186</v>
      </c>
      <c r="AF63" s="6">
        <f>($AB$63-G63)*1000</f>
        <v>9580.1125075580239</v>
      </c>
      <c r="AG63" s="6">
        <f>($AC$63-H63)*1000</f>
        <v>8872.6536406897358</v>
      </c>
      <c r="AJ63" s="6">
        <f>($AA63-J63)*1000</f>
        <v>29025.247200653928</v>
      </c>
      <c r="AK63" s="6">
        <f>($AB63-K63)*1000</f>
        <v>9582.9697225595901</v>
      </c>
      <c r="AL63" s="6">
        <f>($AC63-L63)*1000</f>
        <v>8877.0738216045211</v>
      </c>
      <c r="AN63" s="6">
        <f>($AA63-N63)*1000</f>
        <v>29027.566522645568</v>
      </c>
      <c r="AO63" s="6">
        <f>($AB63-O63)*1000</f>
        <v>9581.3906836369224</v>
      </c>
      <c r="AP63" s="6">
        <f>($AC63-P63)*1000</f>
        <v>8877.3858832037149</v>
      </c>
      <c r="AR63" s="1">
        <f>($AA63-R63)*1000</f>
        <v>29024.735701828704</v>
      </c>
      <c r="AS63" s="1">
        <f>($AB63-S63)*1000</f>
        <v>9579.9760215628357</v>
      </c>
      <c r="AT63" s="1">
        <f>($AC63-T63)*1000</f>
        <v>8876.2700039493229</v>
      </c>
      <c r="AV63" s="1">
        <f>($AA63-V63)*1000</f>
        <v>29022.932665786091</v>
      </c>
      <c r="AW63" s="1">
        <f>($AB63-W63)*1000</f>
        <v>9580.8045704106135</v>
      </c>
      <c r="AX63" s="1">
        <f>($AC63-X63)*1000</f>
        <v>8861.7540615314138</v>
      </c>
      <c r="AZ63" s="154" t="s">
        <v>75</v>
      </c>
      <c r="BA63" s="155">
        <f t="shared" ref="BA63:BA71" si="11">AVERAGE(AE63,AJ63,AN63,AR63,AV63)</f>
        <v>29024.949052069296</v>
      </c>
      <c r="BB63" s="155">
        <f t="shared" ref="BB63:BB71" si="12">AVERAGE(AF63,AK63,AO63,AS63,AW63)</f>
        <v>9581.0507011455957</v>
      </c>
      <c r="BC63" s="155">
        <f t="shared" ref="BC63:BC71" si="13">AVERAGE(AG63,AL63,AP63,AT63,AX63)</f>
        <v>8873.027482195741</v>
      </c>
      <c r="BD63" s="146"/>
      <c r="BE63" s="155">
        <f>_xlfn.STDEV.S(AE63,AJ63,AN63,AR63,AV63)</f>
        <v>1.6971897180568867</v>
      </c>
      <c r="BF63" s="155">
        <f>_xlfn.STDEV.S(AF63,AK63,AO63,AS63,AW63)</f>
        <v>1.2138734524078809</v>
      </c>
      <c r="BG63" s="155">
        <f t="shared" ref="BG63:BG71" si="14">STDEV(AG63,AL63,AP63,AT63,AX63)</f>
        <v>6.5786062396661862</v>
      </c>
      <c r="BH63" s="139">
        <f t="shared" ref="BH63:BH71" si="15">COUNTA(AE63,AJ63,AN63,AR63,AV63)</f>
        <v>5</v>
      </c>
      <c r="BJ63" s="154" t="s">
        <v>75</v>
      </c>
      <c r="BK63" s="155">
        <f>AVERAGE(AJ63,AN63,AR63,AV63)</f>
        <v>29025.120522728572</v>
      </c>
      <c r="BL63" s="155">
        <f>AVERAGE(AK63,AO63,AS63,AW63)</f>
        <v>9581.2852495424904</v>
      </c>
      <c r="BM63" s="155">
        <f>AVERAGE(AL63,AP63,AT63,AX63)</f>
        <v>8873.1209425722427</v>
      </c>
      <c r="BN63" s="146"/>
      <c r="BO63" s="155">
        <f>STDEV(AJ63,AN63,AR63,AV63)</f>
        <v>1.9090807575420752</v>
      </c>
      <c r="BP63" s="155">
        <f>STDEV(AK63,AO63,AS63,AW63)</f>
        <v>1.2640801694167716</v>
      </c>
      <c r="BQ63" s="155">
        <f>STDEV(AL63,AP63,AT63,AX63)</f>
        <v>7.5924862723349404</v>
      </c>
      <c r="BR63" s="139">
        <f>COUNTA(AJ63,AN63,AR63,AV63)</f>
        <v>4</v>
      </c>
    </row>
    <row r="64" spans="3:70">
      <c r="C64" s="2" t="s">
        <v>130</v>
      </c>
      <c r="D64" s="2"/>
      <c r="E64" s="2"/>
      <c r="F64" s="124">
        <f t="array" ref="F64:H64">MMULT(F46:H46,TRANSPOSE($J$36:$L$38))</f>
        <v>11.690498125453539</v>
      </c>
      <c r="G64" s="124">
        <v>40.919555355366477</v>
      </c>
      <c r="H64" s="124">
        <v>11.065841075157495</v>
      </c>
      <c r="I64" s="131"/>
      <c r="J64" s="124">
        <f t="array" ref="J64:L64">MMULT(J46:L46,TRANSPOSE($J$36:$L$38))</f>
        <v>11.687512368135735</v>
      </c>
      <c r="K64" s="124">
        <v>40.915202242761374</v>
      </c>
      <c r="L64" s="124">
        <v>11.065043790983792</v>
      </c>
      <c r="M64" s="2"/>
      <c r="N64" s="124">
        <f t="array" ref="N64:P64">MMULT(N46:P46,TRANSPOSE($J$36:$L$38))</f>
        <v>11.688474265109088</v>
      </c>
      <c r="O64" s="124">
        <v>40.913834978312138</v>
      </c>
      <c r="P64" s="124">
        <v>11.066774496492917</v>
      </c>
      <c r="Q64" s="2"/>
      <c r="R64" s="124">
        <f t="array" ref="R64:T64">MMULT(R46:T46,TRANSPOSE($J$36:$L$38))</f>
        <v>11.689670009878396</v>
      </c>
      <c r="S64" s="124">
        <v>40.913191231126376</v>
      </c>
      <c r="T64" s="124">
        <v>11.064243531015794</v>
      </c>
      <c r="U64" s="2"/>
      <c r="V64" s="124">
        <f t="array" ref="V64:X64">MMULT(V46:X46,TRANSPOSE($J$36:$L$38))</f>
        <v>11.692432987332211</v>
      </c>
      <c r="W64" s="124">
        <v>40.912031245860049</v>
      </c>
      <c r="X64" s="124">
        <v>11.065685886149243</v>
      </c>
      <c r="Y64" s="16"/>
      <c r="Z64" s="20" t="s">
        <v>122</v>
      </c>
      <c r="AA64" s="2">
        <f t="array" ref="AA64:AC64">MMULT(AA48:AC48,TRANSPOSE($J$36:$L$38))</f>
        <v>-94.334711670931867</v>
      </c>
      <c r="AB64" s="2">
        <v>52.45348736666682</v>
      </c>
      <c r="AC64" s="21">
        <v>2.7833018254504367</v>
      </c>
      <c r="AD64" s="43" t="s">
        <v>130</v>
      </c>
      <c r="AE64" s="6">
        <f>($AA63-F64)*1000</f>
        <v>-76.428802651930638</v>
      </c>
      <c r="AF64" s="6">
        <f>($AB63-G64)*1000</f>
        <v>32.265794857956109</v>
      </c>
      <c r="AG64" s="6">
        <f>($AC63-H64)*1000</f>
        <v>-229.91634692036024</v>
      </c>
      <c r="AJ64" s="6">
        <f>($AA$63-J64)*1000</f>
        <v>-73.443045334126822</v>
      </c>
      <c r="AK64" s="6">
        <f>($AB$63-K64)*1000</f>
        <v>36.618907463058292</v>
      </c>
      <c r="AL64" s="6">
        <f>($AC$63-L64)*1000</f>
        <v>-229.1190627466566</v>
      </c>
      <c r="AN64" s="6">
        <f>($AA63-N64)*1000</f>
        <v>-74.404942307479516</v>
      </c>
      <c r="AO64" s="6">
        <f>($AB$63-O64)*1000</f>
        <v>37.986171912294253</v>
      </c>
      <c r="AP64" s="6">
        <f>($AC$63-P64)*1000</f>
        <v>-230.84976825578173</v>
      </c>
      <c r="AR64" s="6">
        <f>($AA63-R64)*1000</f>
        <v>-75.60068707678802</v>
      </c>
      <c r="AS64" s="6">
        <f>($AB63-S64)*1000</f>
        <v>38.629919098056575</v>
      </c>
      <c r="AT64" s="6">
        <f>($AC63-T64)*1000</f>
        <v>-228.31880277865935</v>
      </c>
      <c r="AV64" s="6">
        <f>($AA63-V64)*1000</f>
        <v>-78.363664530602506</v>
      </c>
      <c r="AW64" s="6">
        <f>($AB$63-W64)*1000</f>
        <v>39.789904364383233</v>
      </c>
      <c r="AX64" s="6">
        <f>($AC$63-X64)*1000</f>
        <v>-229.76115791210816</v>
      </c>
      <c r="AZ64" s="154" t="s">
        <v>148</v>
      </c>
      <c r="BA64" s="155">
        <f t="shared" si="11"/>
        <v>-75.648228380185486</v>
      </c>
      <c r="BB64" s="155">
        <f t="shared" si="12"/>
        <v>37.058139539149693</v>
      </c>
      <c r="BC64" s="155">
        <f t="shared" si="13"/>
        <v>-229.5930277227132</v>
      </c>
      <c r="BD64" s="146"/>
      <c r="BE64" s="155">
        <f t="shared" ref="BE64:BF71" si="16">STDEV(AE64,AJ64,AN64,AR64,AV64)</f>
        <v>1.8969542944836608</v>
      </c>
      <c r="BF64" s="155">
        <f t="shared" si="16"/>
        <v>2.9134930276138067</v>
      </c>
      <c r="BG64" s="155">
        <f t="shared" si="14"/>
        <v>0.9434632793845048</v>
      </c>
      <c r="BH64" s="139">
        <f t="shared" si="15"/>
        <v>5</v>
      </c>
      <c r="BJ64" s="154" t="s">
        <v>148</v>
      </c>
      <c r="BK64" s="155">
        <f t="shared" ref="BK64:BK69" si="17">AVERAGE(AJ64,AN64,AR64,AV64)</f>
        <v>-75.453084812249216</v>
      </c>
      <c r="BL64" s="155">
        <f t="shared" ref="BL64:BL69" si="18">AVERAGE(AK64,AO64,AS64,AW64)</f>
        <v>38.256225709448088</v>
      </c>
      <c r="BM64" s="155">
        <f t="shared" ref="BM64:BM69" si="19">AVERAGE(AL64,AP64,AT64,AX64)</f>
        <v>-229.51219792330144</v>
      </c>
      <c r="BN64" s="146"/>
      <c r="BO64" s="155">
        <f t="shared" ref="BO64:BO69" si="20">STDEV(AJ64,AN64,AR64,AV64)</f>
        <v>2.1316755646909895</v>
      </c>
      <c r="BP64" s="155">
        <f t="shared" ref="BP64:BP69" si="21">STDEV(AK64,AO64,AS64,AW64)</f>
        <v>1.3223157790547524</v>
      </c>
      <c r="BQ64" s="155">
        <f t="shared" ref="BQ64:BQ69" si="22">STDEV(AL64,AP64,AT64,AX64)</f>
        <v>1.0692400274227423</v>
      </c>
      <c r="BR64" s="139">
        <f t="shared" ref="BR64:BR69" si="23">COUNTA(AJ64,AN64,AR64,AV64)</f>
        <v>4</v>
      </c>
    </row>
    <row r="65" spans="3:71">
      <c r="C65" s="2" t="s">
        <v>143</v>
      </c>
      <c r="D65" s="2"/>
      <c r="E65" s="2"/>
      <c r="F65" s="124">
        <f t="array" ref="F65:H65">MMULT(F47:H47,TRANSPOSE($J$36:$L$38))</f>
        <v>11.690487779374337</v>
      </c>
      <c r="G65" s="124">
        <v>40.919519503850466</v>
      </c>
      <c r="H65" s="124">
        <v>10.945792299201461</v>
      </c>
      <c r="I65" s="131"/>
      <c r="J65" s="124">
        <f t="array" ref="J65:L65">MMULT(J47:L47,TRANSPOSE($J$36:$L$38))</f>
        <v>11.687502022056535</v>
      </c>
      <c r="K65" s="124">
        <v>40.915166391245357</v>
      </c>
      <c r="L65" s="124">
        <v>10.944995015027757</v>
      </c>
      <c r="M65" s="2"/>
      <c r="N65" s="124">
        <f t="array" ref="N65:P65">MMULT(N47:P47,TRANSPOSE($J$36:$L$38))</f>
        <v>11.688463919029886</v>
      </c>
      <c r="O65" s="124">
        <v>40.913880324545161</v>
      </c>
      <c r="P65" s="124">
        <v>10.946784089120706</v>
      </c>
      <c r="Q65" s="2"/>
      <c r="R65" s="124">
        <f t="array" ref="R65:T65">MMULT(R47:T47,TRANSPOSE($J$36:$L$38))</f>
        <v>11.689659663496696</v>
      </c>
      <c r="S65" s="124">
        <v>40.91323657794414</v>
      </c>
      <c r="T65" s="124">
        <v>10.94425312362792</v>
      </c>
      <c r="U65" s="2"/>
      <c r="V65" s="124">
        <f t="array" ref="V65:X65">MMULT(V47:X47,TRANSPOSE($J$36:$L$38))</f>
        <v>11.692422640898979</v>
      </c>
      <c r="W65" s="124">
        <v>40.896405399885893</v>
      </c>
      <c r="X65" s="124">
        <v>10.934430323318686</v>
      </c>
      <c r="Y65" s="16"/>
      <c r="Z65" s="20"/>
      <c r="AA65" s="2"/>
      <c r="AB65" s="2"/>
      <c r="AC65" s="21"/>
      <c r="AD65" s="43" t="s">
        <v>143</v>
      </c>
      <c r="AE65" s="6">
        <f>($AA63-F65)*1000</f>
        <v>-76.418456572728388</v>
      </c>
      <c r="AF65" s="6">
        <f>($AB63-G65)*1000</f>
        <v>32.301646373966264</v>
      </c>
      <c r="AG65" s="6">
        <f>($AC63-H65)*1000</f>
        <v>-109.86757096432598</v>
      </c>
      <c r="AJ65" s="6">
        <f>($AA63-J65)*1000</f>
        <v>-73.432699254926348</v>
      </c>
      <c r="AK65" s="6">
        <f>($AB63-K65)*1000</f>
        <v>36.654758979075552</v>
      </c>
      <c r="AL65" s="6">
        <f>($AC63-L65)*1000</f>
        <v>-109.07028679062236</v>
      </c>
      <c r="AN65" s="6">
        <f>($AA63-N65)*1000</f>
        <v>-74.394596228277265</v>
      </c>
      <c r="AO65" s="6">
        <f>($AB63-O65)*1000</f>
        <v>37.940825679271484</v>
      </c>
      <c r="AP65" s="6">
        <f>($AC63-P65)*1000</f>
        <v>-110.85936088357151</v>
      </c>
      <c r="AR65" s="6">
        <f>($AA63-R65)*1000</f>
        <v>-75.590340695088187</v>
      </c>
      <c r="AS65" s="6">
        <f>($AB63-S65)*1000</f>
        <v>38.584572280292662</v>
      </c>
      <c r="AT65" s="6">
        <f>($AC63-T65)*1000</f>
        <v>-108.3283953907852</v>
      </c>
      <c r="AV65" s="6">
        <f>($AA63-V65)*1000</f>
        <v>-78.353318097370561</v>
      </c>
      <c r="AW65" s="6">
        <f>($AB63-W65)*1000</f>
        <v>55.415750338539738</v>
      </c>
      <c r="AX65" s="6">
        <f>($AC63-X65)*1000</f>
        <v>-98.505595081551434</v>
      </c>
      <c r="AZ65" s="162" t="s">
        <v>143</v>
      </c>
      <c r="BA65" s="163">
        <f t="shared" si="11"/>
        <v>-75.63788216967815</v>
      </c>
      <c r="BB65" s="163">
        <f t="shared" si="12"/>
        <v>40.17951073022914</v>
      </c>
      <c r="BC65" s="163">
        <f t="shared" si="13"/>
        <v>-107.3262418221713</v>
      </c>
      <c r="BD65" s="164"/>
      <c r="BE65" s="163">
        <f t="shared" si="16"/>
        <v>1.89695416968258</v>
      </c>
      <c r="BF65" s="163">
        <f t="shared" si="16"/>
        <v>8.8626062552340983</v>
      </c>
      <c r="BG65" s="163">
        <f t="shared" si="14"/>
        <v>5.0197384807544276</v>
      </c>
      <c r="BH65" s="165">
        <f t="shared" si="15"/>
        <v>5</v>
      </c>
      <c r="BJ65" s="162" t="s">
        <v>143</v>
      </c>
      <c r="BK65" s="163">
        <f t="shared" ref="BK65" si="24">AVERAGE(AJ65,AN65,AR65,AV65)</f>
        <v>-75.442738568915587</v>
      </c>
      <c r="BL65" s="163">
        <f t="shared" ref="BL65" si="25">AVERAGE(AK65,AO65,AS65,AW65)</f>
        <v>42.148976819294859</v>
      </c>
      <c r="BM65" s="163">
        <f t="shared" ref="BM65" si="26">AVERAGE(AL65,AP65,AT65,AX65)</f>
        <v>-106.69090953663263</v>
      </c>
      <c r="BN65" s="164"/>
      <c r="BO65" s="163">
        <f t="shared" ref="BO65" si="27">STDEV(AJ65,AN65,AR65,AV65)</f>
        <v>2.1316753965783946</v>
      </c>
      <c r="BP65" s="163">
        <f t="shared" ref="BP65" si="28">STDEV(AK65,AO65,AS65,AW65)</f>
        <v>8.8808262570112291</v>
      </c>
      <c r="BQ65" s="163">
        <f t="shared" ref="BQ65" si="29">STDEV(AL65,AP65,AT65,AX65)</f>
        <v>5.5593211635867696</v>
      </c>
      <c r="BR65" s="165">
        <f t="shared" ref="BR65" si="30">COUNTA(AJ65,AN65,AR65,AV65)</f>
        <v>4</v>
      </c>
    </row>
    <row r="66" spans="3:71">
      <c r="C66" s="2" t="s">
        <v>122</v>
      </c>
      <c r="D66" s="2"/>
      <c r="E66" s="2"/>
      <c r="F66" s="124">
        <f t="array" ref="F66:H66">MMULT(F48:H48,TRANSPOSE($J$36:$L$38))</f>
        <v>-94.258597787314045</v>
      </c>
      <c r="G66" s="124">
        <v>52.41892243584919</v>
      </c>
      <c r="H66" s="124">
        <v>2.9007723415083042</v>
      </c>
      <c r="I66" s="131"/>
      <c r="J66" s="124"/>
      <c r="K66" s="124"/>
      <c r="L66" s="124"/>
      <c r="M66" s="2"/>
      <c r="N66" s="14"/>
      <c r="O66" s="14"/>
      <c r="P66" s="14"/>
      <c r="Q66" s="2"/>
      <c r="R66" s="124">
        <f t="array" ref="R66:T66">MMULT(R48:T48,TRANSPOSE($J$36:$L$38))</f>
        <v>-94.261240469501146</v>
      </c>
      <c r="S66" s="124">
        <v>52.410949356004188</v>
      </c>
      <c r="T66" s="124">
        <v>2.8919901885364609</v>
      </c>
      <c r="U66" s="2"/>
      <c r="V66" s="124"/>
      <c r="W66" s="124"/>
      <c r="X66" s="124"/>
      <c r="Y66" s="16"/>
      <c r="Z66" s="20" t="s">
        <v>63</v>
      </c>
      <c r="AA66" s="2">
        <f t="array" ref="AA66:AC66">MMULT(AA49:AC49,TRANSPOSE($J$36:$L$38))</f>
        <v>3.5585615445388665</v>
      </c>
      <c r="AB66" s="2">
        <v>-23.899854300090212</v>
      </c>
      <c r="AC66" s="21">
        <v>-1.7290493273594123</v>
      </c>
      <c r="AD66" s="43" t="s">
        <v>122</v>
      </c>
      <c r="AE66" s="6">
        <f>($AA64-F66)*1000</f>
        <v>-76.113883617821898</v>
      </c>
      <c r="AF66" s="6">
        <f>($AB64-G66)*1000</f>
        <v>34.564930817630568</v>
      </c>
      <c r="AG66" s="6">
        <f>($AC64-H66)*1000</f>
        <v>-117.47051605786751</v>
      </c>
      <c r="AJ66" s="6"/>
      <c r="AK66" s="6"/>
      <c r="AL66" s="6"/>
      <c r="AR66" s="6">
        <f>($AA64-R66)*1000</f>
        <v>-73.471201430720612</v>
      </c>
      <c r="AS66" s="6">
        <f>($AB64-S66)*1000</f>
        <v>42.538010662632075</v>
      </c>
      <c r="AT66" s="6">
        <f>($AC64-T66)*1000</f>
        <v>-108.68836308602425</v>
      </c>
      <c r="AV66" s="6"/>
      <c r="AW66" s="6"/>
      <c r="AX66" s="6"/>
      <c r="AZ66" s="162" t="s">
        <v>122</v>
      </c>
      <c r="BA66" s="163">
        <f t="shared" si="11"/>
        <v>-74.792542524271255</v>
      </c>
      <c r="BB66" s="163">
        <f t="shared" si="12"/>
        <v>38.551470740131322</v>
      </c>
      <c r="BC66" s="163">
        <f t="shared" si="13"/>
        <v>-113.07943957194588</v>
      </c>
      <c r="BD66" s="164"/>
      <c r="BE66" s="163">
        <f t="shared" si="16"/>
        <v>1.8686584950202161</v>
      </c>
      <c r="BF66" s="163">
        <f t="shared" si="16"/>
        <v>5.6378188253423183</v>
      </c>
      <c r="BG66" s="163">
        <f t="shared" si="14"/>
        <v>6.2099199198079598</v>
      </c>
      <c r="BH66" s="165">
        <f t="shared" si="15"/>
        <v>2</v>
      </c>
      <c r="BJ66" s="162" t="s">
        <v>122</v>
      </c>
      <c r="BK66" s="163">
        <f t="shared" si="17"/>
        <v>-73.471201430720612</v>
      </c>
      <c r="BL66" s="163">
        <f t="shared" si="18"/>
        <v>42.538010662632075</v>
      </c>
      <c r="BM66" s="163">
        <f t="shared" si="19"/>
        <v>-108.68836308602425</v>
      </c>
      <c r="BN66" s="146"/>
      <c r="BO66" s="155"/>
      <c r="BP66" s="155"/>
      <c r="BQ66" s="155"/>
      <c r="BR66" s="139">
        <f t="shared" si="23"/>
        <v>1</v>
      </c>
    </row>
    <row r="67" spans="3:71">
      <c r="C67" s="2" t="s">
        <v>63</v>
      </c>
      <c r="D67" s="2"/>
      <c r="E67" s="2"/>
      <c r="F67" s="124">
        <f t="array" ref="F67:H67">MMULT(F49:H49,TRANSPOSE($J$36:$L$38))</f>
        <v>3.4839186368014943</v>
      </c>
      <c r="G67" s="124">
        <v>-23.849392323468997</v>
      </c>
      <c r="H67" s="124">
        <v>-1.8403659712047062</v>
      </c>
      <c r="I67" s="131"/>
      <c r="J67" s="124">
        <f t="array" ref="J67:L67">MMULT(J49:L49,TRANSPOSE($J$36:$L$38))</f>
        <v>3.4843325917913477</v>
      </c>
      <c r="K67" s="124">
        <v>-23.848076034342505</v>
      </c>
      <c r="L67" s="124">
        <v>-1.7724679156009984</v>
      </c>
      <c r="M67" s="2"/>
      <c r="N67" s="124">
        <f t="array" ref="N67:P67">MMULT(N49:P49,TRANSPOSE($J$36:$L$38))</f>
        <v>3.4854508676536602</v>
      </c>
      <c r="O67" s="124">
        <v>-23.848159059256837</v>
      </c>
      <c r="P67" s="124">
        <v>-1.7733803662660304</v>
      </c>
      <c r="Z67" s="20" t="s">
        <v>64</v>
      </c>
      <c r="AA67" s="2">
        <f t="array" ref="AA67:AC67">MMULT(AA51:AC51,TRANSPOSE($J$36:$L$38))</f>
        <v>15.172630867340473</v>
      </c>
      <c r="AB67" s="2">
        <v>17.051966850134217</v>
      </c>
      <c r="AC67" s="21">
        <v>9.1068754008777208</v>
      </c>
      <c r="AD67" s="43" t="s">
        <v>63</v>
      </c>
      <c r="AE67" s="6">
        <f>($AA66-F67)*1000</f>
        <v>74.642907737372255</v>
      </c>
      <c r="AF67" s="6">
        <f>($AB66-G67)*1000</f>
        <v>-50.461976621214433</v>
      </c>
      <c r="AG67" s="6">
        <f>($AC66-H67)*1000</f>
        <v>111.31664384529394</v>
      </c>
      <c r="AJ67" s="6">
        <f>($AA66-J67)*1000</f>
        <v>74.228952747518832</v>
      </c>
      <c r="AK67" s="6">
        <f>($AB66-K67)*1000</f>
        <v>-51.778265747707053</v>
      </c>
      <c r="AL67" s="6">
        <f>($AC66-L67)*1000</f>
        <v>43.418588241586065</v>
      </c>
      <c r="AN67" s="6">
        <f>($AA66-N67)*1000</f>
        <v>73.110676885206345</v>
      </c>
      <c r="AO67" s="6">
        <f>($AB66-O67)*1000</f>
        <v>-51.695240833375067</v>
      </c>
      <c r="AP67" s="6">
        <f>($AC66-P67)*1000</f>
        <v>44.331038906618048</v>
      </c>
      <c r="AR67" s="1"/>
      <c r="AS67" s="1"/>
      <c r="AT67" s="1"/>
      <c r="AZ67" s="162" t="s">
        <v>63</v>
      </c>
      <c r="BA67" s="163">
        <f t="shared" si="11"/>
        <v>73.994179123365811</v>
      </c>
      <c r="BB67" s="163">
        <f t="shared" si="12"/>
        <v>-51.311827734098848</v>
      </c>
      <c r="BC67" s="163">
        <f t="shared" si="13"/>
        <v>66.355423664499355</v>
      </c>
      <c r="BD67" s="164"/>
      <c r="BE67" s="163">
        <f t="shared" si="16"/>
        <v>0.79263600538376089</v>
      </c>
      <c r="BF67" s="163">
        <f t="shared" si="16"/>
        <v>0.737162444548772</v>
      </c>
      <c r="BG67" s="163">
        <f t="shared" si="14"/>
        <v>38.940231530686184</v>
      </c>
      <c r="BH67" s="165">
        <f t="shared" si="15"/>
        <v>3</v>
      </c>
      <c r="BJ67" s="162" t="s">
        <v>63</v>
      </c>
      <c r="BK67" s="163">
        <f t="shared" si="17"/>
        <v>73.669814816362589</v>
      </c>
      <c r="BL67" s="163">
        <f t="shared" si="18"/>
        <v>-51.73675329054106</v>
      </c>
      <c r="BM67" s="163">
        <f t="shared" si="19"/>
        <v>43.874813574102056</v>
      </c>
      <c r="BN67" s="164"/>
      <c r="BO67" s="163">
        <f t="shared" si="20"/>
        <v>0.79074044547839339</v>
      </c>
      <c r="BP67" s="163">
        <f t="shared" si="21"/>
        <v>5.8707479931579556E-2</v>
      </c>
      <c r="BQ67" s="163">
        <f t="shared" si="22"/>
        <v>0.6452000527422902</v>
      </c>
      <c r="BR67" s="165">
        <f t="shared" si="23"/>
        <v>2</v>
      </c>
    </row>
    <row r="68" spans="3:71">
      <c r="C68" s="2" t="s">
        <v>64</v>
      </c>
      <c r="D68" s="7"/>
      <c r="E68" s="7"/>
      <c r="F68" s="124">
        <f t="array" ref="F68:H68">MMULT(F51:H51,TRANSPOSE($J$36:$L$38))</f>
        <v>-13.926275209829083</v>
      </c>
      <c r="G68" s="124">
        <v>7.5223163191974134</v>
      </c>
      <c r="H68" s="124">
        <v>0.12290511634269441</v>
      </c>
      <c r="I68" s="134"/>
      <c r="J68" s="124">
        <f t="array" ref="J68:L68">MMULT(J51:L51,TRANSPOSE($J$36:$L$38))</f>
        <v>-13.926845286060974</v>
      </c>
      <c r="K68" s="124">
        <v>7.5207753933223405</v>
      </c>
      <c r="L68" s="124">
        <v>0.18638299103161593</v>
      </c>
      <c r="M68" s="7"/>
      <c r="N68" s="124">
        <f t="array" ref="N68:P68">MMULT(N51:P51,TRANSPOSE($J$36:$L$38))</f>
        <v>-13.928046332190299</v>
      </c>
      <c r="O68" s="124">
        <v>7.5222714073306705</v>
      </c>
      <c r="P68" s="124">
        <v>0.18515847876738878</v>
      </c>
      <c r="Z68" s="20" t="s">
        <v>121</v>
      </c>
      <c r="AA68" s="2">
        <f t="array" ref="AA68:AC68">MMULT(AA52:AC52,TRANSPOSE($J$36:$L$38))</f>
        <v>-90.776150126392992</v>
      </c>
      <c r="AB68" s="2">
        <v>28.553633066576602</v>
      </c>
      <c r="AC68" s="21">
        <v>1.0542524980910262</v>
      </c>
      <c r="AD68" s="43" t="s">
        <v>64</v>
      </c>
      <c r="AE68" s="6">
        <f>($AA67-F68)*1000</f>
        <v>29098.906077169555</v>
      </c>
      <c r="AF68" s="6">
        <f>($AB67-G68)*1000</f>
        <v>9529.650530936804</v>
      </c>
      <c r="AG68" s="6">
        <f>($AC67-H68)*1000</f>
        <v>8983.9702845350257</v>
      </c>
      <c r="AJ68" s="6">
        <f>($AA$67-J68)*1000</f>
        <v>29099.476153401447</v>
      </c>
      <c r="AK68" s="6">
        <f>($AB$67-K68)*1000</f>
        <v>9531.1914568118773</v>
      </c>
      <c r="AL68" s="6">
        <f>($AC$67-L68)*1000</f>
        <v>8920.4924098461051</v>
      </c>
      <c r="AN68" s="6">
        <f>($AA$67-N68)*1000</f>
        <v>29100.677199530772</v>
      </c>
      <c r="AO68" s="6">
        <f>($AB$67-O68)*1000</f>
        <v>9529.6954428035478</v>
      </c>
      <c r="AP68" s="6">
        <f>($AC$67-P68)*1000</f>
        <v>8921.7169221103304</v>
      </c>
      <c r="AR68" s="1"/>
      <c r="AS68" s="1"/>
      <c r="AT68" s="1"/>
      <c r="AZ68" s="154" t="s">
        <v>64</v>
      </c>
      <c r="BA68" s="155">
        <f t="shared" si="11"/>
        <v>29099.68647670059</v>
      </c>
      <c r="BB68" s="155">
        <f t="shared" si="12"/>
        <v>9530.1791435174091</v>
      </c>
      <c r="BC68" s="155">
        <f t="shared" si="13"/>
        <v>8942.0598721638216</v>
      </c>
      <c r="BD68" s="146"/>
      <c r="BE68" s="155">
        <f t="shared" si="16"/>
        <v>0.90409928781233717</v>
      </c>
      <c r="BF68" s="155">
        <f t="shared" si="16"/>
        <v>0.87697658096465581</v>
      </c>
      <c r="BG68" s="155">
        <f t="shared" si="14"/>
        <v>36.300645399423239</v>
      </c>
      <c r="BH68" s="139">
        <f t="shared" si="15"/>
        <v>3</v>
      </c>
      <c r="BJ68" s="154" t="s">
        <v>64</v>
      </c>
      <c r="BK68" s="155">
        <f t="shared" si="17"/>
        <v>29100.076676466109</v>
      </c>
      <c r="BL68" s="155">
        <f t="shared" si="18"/>
        <v>9530.4434498077135</v>
      </c>
      <c r="BM68" s="155">
        <f t="shared" si="19"/>
        <v>8921.1046659782187</v>
      </c>
      <c r="BN68" s="146"/>
      <c r="BO68" s="155">
        <f t="shared" si="20"/>
        <v>0.84926786256343723</v>
      </c>
      <c r="BP68" s="155">
        <f t="shared" si="21"/>
        <v>1.0578416500398147</v>
      </c>
      <c r="BQ68" s="155">
        <f t="shared" si="22"/>
        <v>0.86586092567978057</v>
      </c>
      <c r="BR68" s="139">
        <f t="shared" si="23"/>
        <v>2</v>
      </c>
    </row>
    <row r="69" spans="3:71" ht="15.75" thickBot="1">
      <c r="C69" s="2" t="s">
        <v>131</v>
      </c>
      <c r="D69" s="7"/>
      <c r="E69" s="7"/>
      <c r="F69" s="124">
        <f t="array" ref="F69:H69">MMULT(F52:H52,TRANSPOSE($J$36:$L$38))</f>
        <v>15.174416762255033</v>
      </c>
      <c r="G69" s="124">
        <v>17.070163031897479</v>
      </c>
      <c r="H69" s="124">
        <v>9.2254751039527925</v>
      </c>
      <c r="I69" s="134"/>
      <c r="J69" s="124">
        <f t="array" ref="J69:L69">MMULT(J52:L52,TRANSPOSE($J$36:$L$38))</f>
        <v>15.171844959927084</v>
      </c>
      <c r="K69" s="124">
        <v>17.06712620841887</v>
      </c>
      <c r="L69" s="124">
        <v>9.2925758753827914</v>
      </c>
      <c r="M69" s="7"/>
      <c r="N69" s="124">
        <f t="array" ref="N69:P69">MMULT(N52:P52,TRANSPOSE($J$36:$L$38))</f>
        <v>15.173925132762747</v>
      </c>
      <c r="O69" s="124">
        <v>17.065675919055302</v>
      </c>
      <c r="P69" s="124">
        <v>9.2933941302268863</v>
      </c>
      <c r="Z69" s="180" t="s">
        <v>150</v>
      </c>
      <c r="AA69" s="23">
        <f t="array" ref="AA69:AC69">MMULT(AA53:AC53,TRANSPOSE($J$36:$L$38))</f>
        <v>105.94878099373346</v>
      </c>
      <c r="AB69" s="23">
        <v>-11.501666216442388</v>
      </c>
      <c r="AC69" s="24">
        <v>8.0526229027866965</v>
      </c>
      <c r="AD69" s="43" t="s">
        <v>131</v>
      </c>
      <c r="AE69" s="6">
        <f>($AA$67-F69)*1000</f>
        <v>-1.7858949145601599</v>
      </c>
      <c r="AF69" s="6">
        <f>($AB$67-G69)*1000</f>
        <v>-18.196181763261876</v>
      </c>
      <c r="AG69" s="6">
        <f>($AC$67-H69)*1000</f>
        <v>-118.59970307507162</v>
      </c>
      <c r="AJ69" s="6">
        <f>($AA$67-J69)*1000</f>
        <v>0.78590741338935288</v>
      </c>
      <c r="AK69" s="6">
        <f>($AB$67-K69)*1000</f>
        <v>-15.159358284652313</v>
      </c>
      <c r="AL69" s="6">
        <f>($AC$67-L69)*1000</f>
        <v>-185.70047450507053</v>
      </c>
      <c r="AN69" s="6">
        <f>($AA$67-N69)*1000</f>
        <v>-1.2942654222740657</v>
      </c>
      <c r="AO69" s="6">
        <f>($AB$67-O69)*1000</f>
        <v>-13.709068921084366</v>
      </c>
      <c r="AP69" s="6">
        <f>($AC$67-P69)*1000</f>
        <v>-186.51872934916548</v>
      </c>
      <c r="AR69" s="1"/>
      <c r="AS69" s="1"/>
      <c r="AT69" s="1"/>
      <c r="AZ69" s="154" t="s">
        <v>149</v>
      </c>
      <c r="BA69" s="155">
        <f t="shared" si="11"/>
        <v>-0.76475097448162421</v>
      </c>
      <c r="BB69" s="155">
        <f t="shared" si="12"/>
        <v>-15.688202989666186</v>
      </c>
      <c r="BC69" s="155">
        <f t="shared" si="13"/>
        <v>-163.60630230976921</v>
      </c>
      <c r="BD69" s="146"/>
      <c r="BE69" s="155">
        <f t="shared" si="16"/>
        <v>1.3652219476434351</v>
      </c>
      <c r="BF69" s="155">
        <f t="shared" si="16"/>
        <v>2.2898259663399023</v>
      </c>
      <c r="BG69" s="155">
        <f t="shared" si="14"/>
        <v>38.979005454885382</v>
      </c>
      <c r="BH69" s="139">
        <f t="shared" si="15"/>
        <v>3</v>
      </c>
      <c r="BJ69" s="154" t="s">
        <v>149</v>
      </c>
      <c r="BK69" s="155">
        <f t="shared" si="17"/>
        <v>-0.25417900444235642</v>
      </c>
      <c r="BL69" s="155">
        <f t="shared" si="18"/>
        <v>-14.43421360286834</v>
      </c>
      <c r="BM69" s="155">
        <f t="shared" si="19"/>
        <v>-186.10960192711801</v>
      </c>
      <c r="BN69" s="146"/>
      <c r="BO69" s="155">
        <f t="shared" si="20"/>
        <v>1.4709043181376531</v>
      </c>
      <c r="BP69" s="155">
        <f t="shared" si="21"/>
        <v>1.0255094436616174</v>
      </c>
      <c r="BQ69" s="155">
        <f t="shared" si="22"/>
        <v>0.57859354899828164</v>
      </c>
      <c r="BR69" s="139">
        <f t="shared" si="23"/>
        <v>2</v>
      </c>
    </row>
    <row r="70" spans="3:71">
      <c r="C70" s="2" t="s">
        <v>144</v>
      </c>
      <c r="D70" s="7"/>
      <c r="E70" s="7"/>
      <c r="F70" s="124">
        <f t="array" ref="F70:H70">MMULT(F53:H53,TRANSPOSE($J$36:$L$38))</f>
        <v>15.174406416175831</v>
      </c>
      <c r="G70" s="124">
        <v>17.070127180381469</v>
      </c>
      <c r="H70" s="124">
        <v>9.1054263279967564</v>
      </c>
      <c r="I70" s="134"/>
      <c r="J70" s="124">
        <f t="array" ref="J70:L70">MMULT(J53:L53,TRANSPOSE($J$36:$L$38))</f>
        <v>15.171834613847881</v>
      </c>
      <c r="K70" s="124">
        <v>17.06709035690286</v>
      </c>
      <c r="L70" s="124">
        <v>9.1725270994267589</v>
      </c>
      <c r="M70" s="7"/>
      <c r="N70" s="124">
        <f t="array" ref="N70:P70">MMULT(N53:P53,TRANSPOSE($J$36:$L$38))</f>
        <v>15.173914786683547</v>
      </c>
      <c r="O70" s="124">
        <v>17.065721265288325</v>
      </c>
      <c r="P70" s="124">
        <v>9.1734037228546761</v>
      </c>
      <c r="Z70" s="7"/>
      <c r="AD70" s="2" t="s">
        <v>144</v>
      </c>
      <c r="AE70" s="6">
        <f>($AA$67-F70)*1000</f>
        <v>-1.7755488353579096</v>
      </c>
      <c r="AF70" s="6">
        <f>($AB$67-G70)*1000</f>
        <v>-18.160330247251721</v>
      </c>
      <c r="AG70" s="6">
        <f>($AC$67-H70)*1000</f>
        <v>1.4490728809644082</v>
      </c>
      <c r="AJ70" s="6">
        <f>($AA$67-J70)*1000</f>
        <v>0.79625349259160316</v>
      </c>
      <c r="AK70" s="6">
        <f>($AB$67-K70)*1000</f>
        <v>-15.123506768642159</v>
      </c>
      <c r="AL70" s="6">
        <f>($AC$67-L70)*1000</f>
        <v>-65.651698549038073</v>
      </c>
      <c r="AN70" s="6">
        <f>($AA$67-N70)*1000</f>
        <v>-1.2839193430735918</v>
      </c>
      <c r="AO70" s="6">
        <f>($AB$67-O70)*1000</f>
        <v>-13.754415154107136</v>
      </c>
      <c r="AP70" s="6">
        <f>($AC$67-P70)*1000</f>
        <v>-66.52832197695524</v>
      </c>
      <c r="AR70" s="1"/>
      <c r="AS70" s="1"/>
      <c r="AT70" s="1"/>
      <c r="AZ70" s="162" t="s">
        <v>144</v>
      </c>
      <c r="BA70" s="163">
        <f t="shared" si="11"/>
        <v>-0.75440489527996613</v>
      </c>
      <c r="BB70" s="163">
        <f t="shared" si="12"/>
        <v>-15.679417390000339</v>
      </c>
      <c r="BC70" s="163">
        <f t="shared" si="13"/>
        <v>-43.576982548342961</v>
      </c>
      <c r="BD70" s="164"/>
      <c r="BE70" s="163">
        <f t="shared" si="16"/>
        <v>1.3652219476437797</v>
      </c>
      <c r="BF70" s="163">
        <f t="shared" si="16"/>
        <v>2.2549499808651996</v>
      </c>
      <c r="BG70" s="163">
        <f t="shared" si="14"/>
        <v>38.996171194117103</v>
      </c>
      <c r="BH70" s="165">
        <f t="shared" si="15"/>
        <v>3</v>
      </c>
      <c r="BJ70" s="162" t="s">
        <v>144</v>
      </c>
      <c r="BK70" s="163">
        <f t="shared" ref="BK70" si="31">AVERAGE(AJ70,AN70,AR70,AV70)</f>
        <v>-0.24383292524099431</v>
      </c>
      <c r="BL70" s="163">
        <f t="shared" ref="BL70" si="32">AVERAGE(AK70,AO70,AS70,AW70)</f>
        <v>-14.438960961374647</v>
      </c>
      <c r="BM70" s="163">
        <f t="shared" ref="BM70" si="33">AVERAGE(AL70,AP70,AT70,AX70)</f>
        <v>-66.090010262996657</v>
      </c>
      <c r="BN70" s="164"/>
      <c r="BO70" s="163">
        <f t="shared" ref="BO70" si="34">STDEV(AJ70,AN70,AR70,AV70)</f>
        <v>1.4709043181389092</v>
      </c>
      <c r="BP70" s="163">
        <f t="shared" ref="BP70" si="35">STDEV(AK70,AO70,AS70,AW70)</f>
        <v>0.96809396470335352</v>
      </c>
      <c r="BQ70" s="163">
        <f t="shared" ref="BQ70" si="36">STDEV(AL70,AP70,AT70,AX70)</f>
        <v>0.61986637042722537</v>
      </c>
      <c r="BR70" s="165">
        <f t="shared" ref="BR70" si="37">COUNTA(AJ70,AN70,AR70,AV70)</f>
        <v>2</v>
      </c>
    </row>
    <row r="71" spans="3:71">
      <c r="C71" s="2" t="s">
        <v>121</v>
      </c>
      <c r="F71" s="124">
        <f t="array" ref="F71:H71">MMULT(F54:H54,TRANSPOSE($J$36:$L$38))</f>
        <v>90.774679150512554</v>
      </c>
      <c r="G71" s="124">
        <v>-28.5695301123802</v>
      </c>
      <c r="H71" s="124">
        <v>-1.0604063703035962</v>
      </c>
      <c r="J71" s="124"/>
      <c r="K71" s="124"/>
      <c r="L71" s="124"/>
      <c r="N71" s="124"/>
      <c r="O71" s="124"/>
      <c r="P71" s="124"/>
      <c r="Z71" s="144" t="s">
        <v>157</v>
      </c>
      <c r="AA71" s="129">
        <v>29.099</v>
      </c>
      <c r="AB71" s="129">
        <v>9.5459999999999994</v>
      </c>
      <c r="AC71" s="129">
        <v>8.984</v>
      </c>
      <c r="AD71" s="144" t="s">
        <v>152</v>
      </c>
      <c r="AE71" s="6">
        <f>($AA$69-F72)*1000</f>
        <v>-0.30457295491714831</v>
      </c>
      <c r="AF71" s="6">
        <f>($AB$69-G72)*1000</f>
        <v>-2.2632844436571986</v>
      </c>
      <c r="AG71" s="6">
        <f>($AC$69-H72)*1000</f>
        <v>7.6029450935397591</v>
      </c>
      <c r="AR71" s="6">
        <f>($AA$69-R72)*1000</f>
        <v>-2.11913926438001</v>
      </c>
      <c r="AS71" s="6">
        <f>($AB$69-S72)*1000</f>
        <v>-3.9534383823340846</v>
      </c>
      <c r="AT71" s="6">
        <f>($AC$69-T72)*1000</f>
        <v>0.35996769524082595</v>
      </c>
      <c r="AZ71" s="171" t="s">
        <v>153</v>
      </c>
      <c r="BA71" s="163">
        <f t="shared" si="11"/>
        <v>-1.2118561096485791</v>
      </c>
      <c r="BB71" s="163">
        <f t="shared" si="12"/>
        <v>-3.1083614129956416</v>
      </c>
      <c r="BC71" s="163">
        <f t="shared" si="13"/>
        <v>3.9814563943902925</v>
      </c>
      <c r="BD71" s="164"/>
      <c r="BE71" s="163">
        <f t="shared" si="16"/>
        <v>1.2830921423338366</v>
      </c>
      <c r="BF71" s="163">
        <f t="shared" si="16"/>
        <v>1.1951193112875778</v>
      </c>
      <c r="BG71" s="163">
        <f t="shared" si="14"/>
        <v>5.1215584343180733</v>
      </c>
      <c r="BH71" s="165">
        <f t="shared" si="15"/>
        <v>2</v>
      </c>
      <c r="BJ71" s="171" t="s">
        <v>153</v>
      </c>
      <c r="BK71" s="163">
        <f t="shared" ref="BK71" si="38">AVERAGE(AJ71,AN71,AR71,AV71)</f>
        <v>-2.11913926438001</v>
      </c>
      <c r="BL71" s="163">
        <f t="shared" ref="BL71" si="39">AVERAGE(AK71,AO71,AS71,AW71)</f>
        <v>-3.9534383823340846</v>
      </c>
      <c r="BM71" s="163">
        <f t="shared" ref="BM71" si="40">AVERAGE(AL71,AP71,AT71,AX71)</f>
        <v>0.35996769524082595</v>
      </c>
      <c r="BN71" s="164"/>
      <c r="BO71" s="163"/>
      <c r="BP71" s="163"/>
      <c r="BQ71" s="163"/>
      <c r="BR71" s="165">
        <f t="shared" ref="BR71" si="41">COUNTA(AJ71,AN71,AR71,AV71)</f>
        <v>1</v>
      </c>
    </row>
    <row r="72" spans="3:71" ht="15.75" thickBot="1">
      <c r="C72" s="31" t="s">
        <v>151</v>
      </c>
      <c r="D72" s="7"/>
      <c r="E72" s="7"/>
      <c r="F72" s="124">
        <f t="array" ref="F72:H72">MMULT(F55:H55,TRANSPOSE($J$36:$L$38))</f>
        <v>105.94908556668838</v>
      </c>
      <c r="G72" s="124">
        <v>-11.499402931998731</v>
      </c>
      <c r="H72" s="124">
        <v>8.0450199576931567</v>
      </c>
      <c r="I72" s="134"/>
      <c r="J72" s="129"/>
      <c r="K72" s="129"/>
      <c r="L72" s="129"/>
      <c r="M72" s="7"/>
      <c r="N72" s="16"/>
      <c r="O72" s="16"/>
      <c r="P72" s="16"/>
      <c r="R72" s="124">
        <f t="array" ref="R72:T72">MMULT(R55:T55,TRANSPOSE($J$36:$L$38))</f>
        <v>105.95090013299784</v>
      </c>
      <c r="S72" s="124">
        <v>-11.497712778060054</v>
      </c>
      <c r="T72" s="124">
        <v>8.0522629350914556</v>
      </c>
      <c r="Z72" s="7"/>
      <c r="AD72" s="2" t="s">
        <v>121</v>
      </c>
      <c r="AE72" s="6">
        <f>($AA$68-F71)*1000</f>
        <v>-181550.82927690554</v>
      </c>
      <c r="AF72" s="6">
        <f>($AB$67-G71)*1000</f>
        <v>45621.496962514415</v>
      </c>
      <c r="AG72" s="6">
        <f>($AC$67-H71)*1000</f>
        <v>10167.281771181317</v>
      </c>
      <c r="AZ72" s="154" t="s">
        <v>121</v>
      </c>
      <c r="BA72" s="155">
        <f>AVERAGE(AE72,AJ71,AN71,AR71,AV71)</f>
        <v>-90776.474208084954</v>
      </c>
      <c r="BB72" s="155"/>
      <c r="BC72" s="155"/>
      <c r="BD72" s="146"/>
      <c r="BE72" s="155"/>
      <c r="BF72" s="155"/>
      <c r="BG72" s="155"/>
      <c r="BH72" s="139">
        <f>COUNTA(AE72,AJ71,AN71,AR71,AV71)</f>
        <v>2</v>
      </c>
      <c r="BJ72" s="154" t="s">
        <v>121</v>
      </c>
      <c r="BK72" s="155"/>
      <c r="BL72" s="155"/>
      <c r="BM72" s="155"/>
      <c r="BN72" s="146"/>
      <c r="BO72" s="155"/>
      <c r="BP72" s="155"/>
      <c r="BQ72" s="155"/>
      <c r="BR72" s="139"/>
    </row>
    <row r="73" spans="3:71">
      <c r="C73" s="160" t="s">
        <v>158</v>
      </c>
      <c r="D73" s="7"/>
      <c r="E73" s="7"/>
      <c r="F73" s="124">
        <f t="array" ref="F73:H73">MMULT(F56:H56,TRANSPOSE($J$36:$L$38))</f>
        <v>29.100681626004913</v>
      </c>
      <c r="G73" s="124">
        <v>9.547810861184054</v>
      </c>
      <c r="H73" s="124">
        <v>8.9825212116540634</v>
      </c>
      <c r="I73" s="134"/>
      <c r="J73" s="124">
        <f t="array" ref="J73:L73">MMULT(J56:L56,TRANSPOSE($J$36:$L$38))</f>
        <v>29.098679899908856</v>
      </c>
      <c r="K73" s="124">
        <v>9.5463149635805191</v>
      </c>
      <c r="L73" s="124">
        <v>8.9861441083951448</v>
      </c>
      <c r="M73" s="7"/>
      <c r="N73" s="124">
        <f t="array" ref="N73:P73">MMULT(N56:P56,TRANSPOSE($J$36:$L$38))</f>
        <v>29.101961118873845</v>
      </c>
      <c r="O73" s="124">
        <v>9.5434498579576506</v>
      </c>
      <c r="P73" s="124">
        <v>8.9882452440872882</v>
      </c>
      <c r="R73" s="124">
        <f t="array" ref="R73:T73">MMULT(R56:T56,TRANSPOSE($J$36:$L$38))</f>
        <v>29.100326042523797</v>
      </c>
      <c r="S73" s="124">
        <v>9.5413914492825445</v>
      </c>
      <c r="T73" s="124">
        <v>8.9845983993401077</v>
      </c>
      <c r="V73" s="124">
        <f t="array" ref="V73:X73">MMULT(V56:X56,TRANSPOSE($J$36:$L$38))</f>
        <v>29.101285983883464</v>
      </c>
      <c r="W73" s="124">
        <v>9.5253888200720667</v>
      </c>
      <c r="X73" s="124">
        <v>8.960259656612962</v>
      </c>
      <c r="Z73" s="7"/>
      <c r="AD73" s="144" t="s">
        <v>157</v>
      </c>
      <c r="AE73" s="6">
        <f>($AA$71-F73)*1000</f>
        <v>-1.6816260049132836</v>
      </c>
      <c r="AF73" s="6">
        <f>($AB$71-G73)*1000</f>
        <v>-1.8108611840546018</v>
      </c>
      <c r="AG73" s="6">
        <f>($AC$71-H73)*1000</f>
        <v>1.4787883459366213</v>
      </c>
      <c r="AJ73" s="6">
        <f>($AA$71-J73)*1000</f>
        <v>0.32010009114458171</v>
      </c>
      <c r="AK73" s="6">
        <f>($AB$71-K73)*1000</f>
        <v>-0.31496358051974482</v>
      </c>
      <c r="AL73" s="6">
        <f>($AC$71-L73)*1000</f>
        <v>-2.1441083951447837</v>
      </c>
      <c r="AN73" s="6">
        <f>($AA$71-N73)*1000</f>
        <v>-2.9611188738449812</v>
      </c>
      <c r="AO73" s="6">
        <f>($AB$71-O73)*1000</f>
        <v>2.5501420423488241</v>
      </c>
      <c r="AP73" s="6">
        <f>($AC$71-P73)*1000</f>
        <v>-4.2452440872882136</v>
      </c>
      <c r="AR73" s="6">
        <f>($AA$71-R73)*1000</f>
        <v>-1.3260425237966444</v>
      </c>
      <c r="AS73" s="6">
        <f>($AB$71-S73)*1000</f>
        <v>4.6085507174549178</v>
      </c>
      <c r="AT73" s="6">
        <f>($AC$71-T73)*1000</f>
        <v>-0.59839934010774698</v>
      </c>
      <c r="AV73" s="6">
        <f>($AA$71-V73)*1000</f>
        <v>-2.2859838834641266</v>
      </c>
      <c r="AW73" s="6">
        <f>($AB$71-W73)*1000</f>
        <v>20.61117992793271</v>
      </c>
      <c r="AX73" s="6">
        <f>($AC$71-X73)*1000</f>
        <v>23.74034338703801</v>
      </c>
      <c r="AZ73" s="183" t="s">
        <v>168</v>
      </c>
      <c r="BA73" s="353" t="s">
        <v>127</v>
      </c>
      <c r="BB73" s="353"/>
      <c r="BC73" s="353"/>
      <c r="BD73" s="32"/>
      <c r="BE73" s="325" t="s">
        <v>126</v>
      </c>
      <c r="BF73" s="325"/>
      <c r="BG73" s="325"/>
      <c r="BH73" s="167" t="s">
        <v>4</v>
      </c>
      <c r="BJ73" s="172"/>
      <c r="BK73" s="173"/>
      <c r="BL73" s="173"/>
      <c r="BM73" s="173"/>
      <c r="BN73" s="146"/>
      <c r="BO73" s="173"/>
      <c r="BP73" s="173"/>
      <c r="BQ73" s="173"/>
      <c r="BR73" s="173"/>
      <c r="BS73" s="174"/>
    </row>
    <row r="74" spans="3:71">
      <c r="C74" s="144" t="s">
        <v>157</v>
      </c>
      <c r="D74" s="7"/>
      <c r="E74" s="7"/>
      <c r="F74" s="124">
        <f t="array" ref="F74:H74">MMULT(F57:H57,TRANSPOSE($J$36:$L$38))</f>
        <v>29.099213532137231</v>
      </c>
      <c r="G74" s="124">
        <v>9.5459005429987922</v>
      </c>
      <c r="H74" s="124">
        <v>8.9841507464120927</v>
      </c>
      <c r="I74" s="134"/>
      <c r="J74" s="129"/>
      <c r="K74" s="129"/>
      <c r="L74" s="129"/>
      <c r="M74" s="7"/>
      <c r="N74" s="16"/>
      <c r="O74" s="16"/>
      <c r="P74" s="16"/>
      <c r="R74" s="129"/>
      <c r="S74" s="129"/>
      <c r="T74" s="129"/>
      <c r="Z74" s="7"/>
      <c r="AE74" s="7"/>
      <c r="AF74" s="8"/>
      <c r="AG74" s="8"/>
      <c r="AH74" s="8"/>
      <c r="AZ74" s="20"/>
      <c r="BA74" s="151" t="s">
        <v>5</v>
      </c>
      <c r="BB74" s="152" t="s">
        <v>4</v>
      </c>
      <c r="BC74" s="152" t="s">
        <v>6</v>
      </c>
      <c r="BD74" s="174"/>
      <c r="BE74" s="151" t="s">
        <v>5</v>
      </c>
      <c r="BF74" s="152" t="s">
        <v>4</v>
      </c>
      <c r="BG74" s="152" t="s">
        <v>6</v>
      </c>
      <c r="BH74" s="184"/>
      <c r="BJ74" s="172"/>
      <c r="BK74" s="173"/>
      <c r="BL74" s="173"/>
      <c r="BM74" s="173"/>
      <c r="BN74" s="146"/>
      <c r="BO74" s="173"/>
      <c r="BP74" s="173"/>
      <c r="BQ74" s="173"/>
      <c r="BR74" s="173"/>
      <c r="BS74" s="174"/>
    </row>
    <row r="75" spans="3:71" ht="15.75" thickBot="1">
      <c r="C75" s="31"/>
      <c r="D75" s="7"/>
      <c r="E75" s="7"/>
      <c r="F75" s="129">
        <v>29.099</v>
      </c>
      <c r="G75" s="129">
        <v>9.5459999999999994</v>
      </c>
      <c r="H75" s="129">
        <v>8.984</v>
      </c>
      <c r="I75" s="134"/>
      <c r="J75" s="129"/>
      <c r="K75" s="129"/>
      <c r="L75" s="129"/>
      <c r="M75" s="7"/>
      <c r="N75" s="16"/>
      <c r="O75" s="16"/>
      <c r="P75" s="16"/>
      <c r="R75" s="129"/>
      <c r="S75" s="129"/>
      <c r="T75" s="129"/>
      <c r="Z75" s="7"/>
      <c r="AE75" s="7"/>
      <c r="AF75" s="8"/>
      <c r="AG75" s="8"/>
      <c r="AH75" s="8"/>
      <c r="AZ75" s="179" t="s">
        <v>157</v>
      </c>
      <c r="BA75" s="185">
        <f>AVERAGE(AE73,AJ73,AN73,AR73,AV73)</f>
        <v>-1.5869342389748908</v>
      </c>
      <c r="BB75" s="185">
        <f>AVERAGE(AF73,AK73,AO73,AS73,AW73)</f>
        <v>5.1288095846324211</v>
      </c>
      <c r="BC75" s="185">
        <f>AVERAGE(AG73,AL73,AP73,AT73,AX73)</f>
        <v>3.6462759820867774</v>
      </c>
      <c r="BD75" s="186"/>
      <c r="BE75" s="185">
        <f>STDEV(AE73,AJ73,AN73,AR73,AV73)</f>
        <v>1.2339838704388499</v>
      </c>
      <c r="BF75" s="185">
        <f>STDEV(AF73,AK73,AO73,AS73,AW73)</f>
        <v>9.0057992938024114</v>
      </c>
      <c r="BG75" s="185">
        <f>STDEV(AG73,AL73,AP73,AT73,AX73)</f>
        <v>11.426848388333834</v>
      </c>
      <c r="BH75" s="187">
        <f>COUNTA(AE73,AJ73,AN73,AR73,AV73)</f>
        <v>5</v>
      </c>
      <c r="BJ75" s="172"/>
      <c r="BK75" s="173"/>
      <c r="BL75" s="173"/>
      <c r="BM75" s="173"/>
      <c r="BN75" s="146"/>
      <c r="BO75" s="173"/>
      <c r="BP75" s="173"/>
      <c r="BQ75" s="173"/>
      <c r="BR75" s="173"/>
      <c r="BS75" s="174"/>
    </row>
    <row r="76" spans="3:71">
      <c r="C76" s="31"/>
      <c r="D76" s="7"/>
      <c r="E76" s="7"/>
      <c r="G76" s="129"/>
      <c r="H76" s="129"/>
      <c r="I76" s="134"/>
      <c r="J76" s="129"/>
      <c r="K76" s="129"/>
      <c r="L76" s="129"/>
      <c r="M76" s="7"/>
      <c r="N76" s="16"/>
      <c r="O76" s="16"/>
      <c r="P76" s="16"/>
      <c r="R76" s="129"/>
      <c r="S76" s="129"/>
      <c r="T76" s="129"/>
      <c r="Z76" s="7"/>
      <c r="AE76" s="7"/>
      <c r="AF76" s="8"/>
      <c r="AG76" s="8"/>
      <c r="AH76" s="8"/>
      <c r="BJ76" s="172"/>
      <c r="BK76" s="173"/>
      <c r="BL76" s="173"/>
      <c r="BM76" s="173"/>
      <c r="BN76" s="146"/>
      <c r="BO76" s="173"/>
      <c r="BP76" s="173"/>
      <c r="BQ76" s="173"/>
      <c r="BR76" s="173"/>
      <c r="BS76" s="174"/>
    </row>
    <row r="77" spans="3:71" ht="15.75" thickBot="1">
      <c r="C77" s="31"/>
      <c r="D77" s="7"/>
      <c r="E77" s="7"/>
      <c r="F77" s="129"/>
      <c r="G77" s="129"/>
      <c r="H77" s="129"/>
      <c r="I77" s="134"/>
      <c r="J77" s="129"/>
      <c r="K77" s="129"/>
      <c r="L77" s="129"/>
      <c r="M77" s="7"/>
      <c r="N77" s="16"/>
      <c r="O77" s="16"/>
      <c r="P77" s="16"/>
      <c r="R77" s="129"/>
      <c r="S77" s="129"/>
      <c r="T77" s="129"/>
      <c r="Z77" s="7"/>
      <c r="AE77" s="7"/>
      <c r="AF77" s="8"/>
      <c r="AG77" s="8"/>
      <c r="AH77" s="8"/>
      <c r="AZ77" s="172"/>
      <c r="BA77" s="173"/>
      <c r="BB77" s="173"/>
      <c r="BC77" s="173"/>
      <c r="BD77" s="146"/>
      <c r="BE77" s="173"/>
      <c r="BF77" s="173"/>
      <c r="BG77" s="173"/>
      <c r="BH77" s="174"/>
      <c r="BJ77" s="172"/>
      <c r="BK77" s="173"/>
      <c r="BL77" s="173"/>
      <c r="BM77" s="173"/>
      <c r="BN77" s="146"/>
      <c r="BO77" s="173"/>
      <c r="BP77" s="173"/>
      <c r="BQ77" s="173"/>
      <c r="BR77" s="173"/>
      <c r="BS77" s="174"/>
    </row>
    <row r="78" spans="3:71">
      <c r="F78" s="130"/>
      <c r="G78" s="130"/>
      <c r="H78" s="130"/>
      <c r="J78" s="130"/>
      <c r="K78" s="130"/>
      <c r="L78" s="130"/>
      <c r="AZ78" s="183" t="s">
        <v>166</v>
      </c>
      <c r="BA78" s="353" t="s">
        <v>127</v>
      </c>
      <c r="BB78" s="353"/>
      <c r="BC78" s="353"/>
      <c r="BD78" s="32"/>
      <c r="BE78" s="325" t="s">
        <v>126</v>
      </c>
      <c r="BF78" s="325"/>
      <c r="BG78" s="325"/>
      <c r="BH78" s="167" t="s">
        <v>4</v>
      </c>
    </row>
    <row r="79" spans="3:71">
      <c r="C79" t="s">
        <v>74</v>
      </c>
      <c r="F79" s="130"/>
      <c r="G79" s="130"/>
      <c r="H79" s="130"/>
      <c r="J79" s="130"/>
      <c r="K79" s="130"/>
      <c r="L79" s="130"/>
      <c r="AZ79" s="20"/>
      <c r="BA79" s="151" t="s">
        <v>5</v>
      </c>
      <c r="BB79" s="152" t="s">
        <v>4</v>
      </c>
      <c r="BC79" s="152" t="s">
        <v>6</v>
      </c>
      <c r="BD79" s="174"/>
      <c r="BE79" s="151" t="s">
        <v>5</v>
      </c>
      <c r="BF79" s="152" t="s">
        <v>4</v>
      </c>
      <c r="BG79" s="152" t="s">
        <v>6</v>
      </c>
      <c r="BH79" s="184"/>
    </row>
    <row r="80" spans="3:71" ht="15.75" thickBot="1">
      <c r="C80" s="2" t="s">
        <v>75</v>
      </c>
      <c r="D80" s="2"/>
      <c r="E80" s="2"/>
      <c r="F80" s="124">
        <f>'NEU-Kog'!N20</f>
        <v>-17.4132</v>
      </c>
      <c r="G80" s="124">
        <f>'NEU-Kog'!M20</f>
        <v>31.3703</v>
      </c>
      <c r="H80" s="124">
        <f>'NEU-Kog'!O20</f>
        <v>1.9616000000000007</v>
      </c>
      <c r="I80" s="131"/>
      <c r="J80" s="124">
        <f>'NEU-Kog'!R20</f>
        <v>-17.411000000000005</v>
      </c>
      <c r="K80" s="124">
        <f>'NEU-Kog'!Q20</f>
        <v>31.3687</v>
      </c>
      <c r="L80" s="124">
        <f>'NEU-Kog'!S20</f>
        <v>1.9619999999999997</v>
      </c>
      <c r="M80" s="2"/>
      <c r="N80" s="2">
        <f>'NEU-Kog'!N20</f>
        <v>-17.4132</v>
      </c>
      <c r="O80" s="2">
        <f>'NEU-Kog'!M20</f>
        <v>31.3703</v>
      </c>
      <c r="P80" s="2">
        <f>'NEU-Kog'!O20</f>
        <v>1.9616000000000007</v>
      </c>
      <c r="Q80" s="2"/>
      <c r="R80" s="2">
        <f>'NEU-Kog'!J20</f>
        <v>-17.410399999999996</v>
      </c>
      <c r="S80" s="2">
        <f>'NEU-Kog'!I20</f>
        <v>31.371700000000001</v>
      </c>
      <c r="T80" s="2">
        <f>'NEU-Kog'!K20</f>
        <v>1.9626999999999999</v>
      </c>
      <c r="U80" s="2"/>
      <c r="V80" s="2">
        <f>'NEU-Kog'!F20</f>
        <v>-17.4087</v>
      </c>
      <c r="W80" s="2">
        <f>'NEU-Kog'!E20</f>
        <v>31.370899999999999</v>
      </c>
      <c r="X80" s="2">
        <f>'NEU-Kog'!G20</f>
        <v>1.9772999999999996</v>
      </c>
      <c r="Y80" s="7"/>
      <c r="AZ80" s="180" t="s">
        <v>157</v>
      </c>
      <c r="BA80" s="185">
        <f>AVERAGE(AE73,AJ73,AN73,AR73)</f>
        <v>-1.4121718278525819</v>
      </c>
      <c r="BB80" s="185">
        <f>AVERAGE(AF73,AK73,AO73,AS73)</f>
        <v>1.2582169988073488</v>
      </c>
      <c r="BC80" s="185">
        <f>AVERAGE(AG73,AL73,AP73,AT73)</f>
        <v>-1.3772408691510307</v>
      </c>
      <c r="BD80" s="186"/>
      <c r="BE80" s="185">
        <f>STDEV(AE73,AJ73,AN73,AR73)</f>
        <v>1.3515456291702126</v>
      </c>
      <c r="BF80" s="185">
        <f>STDEV(AF73,AK73,AO73,AS73)</f>
        <v>2.8744822358196167</v>
      </c>
      <c r="BG80" s="185">
        <f>STDEV(AG73,AL73,AP73,AT73)</f>
        <v>2.4205388702012676</v>
      </c>
      <c r="BH80" s="187">
        <f>COUNTA(AE73,AJ73,AN73,AR73)</f>
        <v>4</v>
      </c>
    </row>
    <row r="81" spans="3:60" ht="15.75" thickBot="1">
      <c r="C81" s="2" t="s">
        <v>63</v>
      </c>
      <c r="D81" s="2"/>
      <c r="E81" s="2"/>
      <c r="F81" s="124"/>
      <c r="G81" s="124"/>
      <c r="H81" s="124"/>
      <c r="I81" s="131"/>
      <c r="J81" s="124">
        <f>'NEU-Kog'!R21</f>
        <v>3.4842000000000013</v>
      </c>
      <c r="K81" s="124">
        <f>'NEU-Kog'!Q21</f>
        <v>-23.847900000000003</v>
      </c>
      <c r="L81" s="124">
        <f>'NEU-Kog'!S21</f>
        <v>-1.7741000000000007</v>
      </c>
      <c r="M81" s="2"/>
      <c r="N81" s="2">
        <f>'NEU-Kog'!N21</f>
        <v>3.4850999999999956</v>
      </c>
      <c r="O81" s="2">
        <f>'NEU-Kog'!M21</f>
        <v>-23.848100000000002</v>
      </c>
      <c r="P81" s="2">
        <f>'NEU-Kog'!O21</f>
        <v>-1.7750000000000004</v>
      </c>
      <c r="Q81" s="2"/>
      <c r="R81" s="2"/>
      <c r="S81" s="2"/>
      <c r="T81" s="2"/>
      <c r="U81" s="2"/>
      <c r="V81" s="2"/>
      <c r="W81" s="2"/>
      <c r="X81" s="2"/>
      <c r="Y81" s="7"/>
      <c r="AF81" s="351" t="s">
        <v>118</v>
      </c>
      <c r="AG81" s="352"/>
      <c r="AH81" s="2" t="s">
        <v>16</v>
      </c>
    </row>
    <row r="82" spans="3:60">
      <c r="C82" s="2" t="s">
        <v>64</v>
      </c>
      <c r="D82" s="2"/>
      <c r="E82" s="2"/>
      <c r="F82" s="131"/>
      <c r="G82" s="131"/>
      <c r="H82" s="131"/>
      <c r="I82" s="131"/>
      <c r="J82" s="131">
        <f>'NEU-Kog'!R22</f>
        <v>-13.926800000000004</v>
      </c>
      <c r="K82" s="131">
        <f>'NEU-Kog'!Q22</f>
        <v>7.5207999999999995</v>
      </c>
      <c r="L82" s="131">
        <f>'NEU-Kog'!S22</f>
        <v>0.18789999999999907</v>
      </c>
      <c r="M82" s="2"/>
      <c r="N82" s="2">
        <f>'NEU-Kog'!N22</f>
        <v>-13.928100000000004</v>
      </c>
      <c r="O82" s="2">
        <f>'NEU-Kog'!M22</f>
        <v>7.5221999999999998</v>
      </c>
      <c r="P82" s="2">
        <f>'NEU-Kog'!O22</f>
        <v>0.18660000000000032</v>
      </c>
      <c r="AF82" s="14" t="s">
        <v>5</v>
      </c>
      <c r="AG82" s="124" t="s">
        <v>4</v>
      </c>
      <c r="AH82" s="124" t="s">
        <v>6</v>
      </c>
      <c r="AJ82" s="1"/>
      <c r="AK82" s="1"/>
      <c r="AL82" s="1"/>
      <c r="AN82" s="1"/>
      <c r="AO82" s="1"/>
      <c r="AP82" s="1"/>
      <c r="AR82" s="1"/>
      <c r="AS82" s="1"/>
      <c r="AT82" s="1"/>
      <c r="AZ82" s="183" t="s">
        <v>167</v>
      </c>
      <c r="BA82" s="353" t="s">
        <v>127</v>
      </c>
      <c r="BB82" s="353"/>
      <c r="BC82" s="353"/>
      <c r="BD82" s="32"/>
      <c r="BE82" s="325" t="s">
        <v>126</v>
      </c>
      <c r="BF82" s="325"/>
      <c r="BG82" s="325"/>
      <c r="BH82" s="167" t="s">
        <v>4</v>
      </c>
    </row>
    <row r="83" spans="3:60">
      <c r="C83" s="31" t="s">
        <v>73</v>
      </c>
      <c r="F83" s="130"/>
      <c r="G83" s="130"/>
      <c r="H83" s="130"/>
      <c r="J83" s="130"/>
      <c r="K83" s="130"/>
      <c r="L83" s="130"/>
      <c r="AE83" s="40" t="s">
        <v>123</v>
      </c>
      <c r="AF83" s="6">
        <f>($AA63-F66)*1000</f>
        <v>105872.66711011565</v>
      </c>
      <c r="AG83" s="6">
        <f>($AB63-G66)*1000</f>
        <v>-11467.101285624758</v>
      </c>
      <c r="AH83" s="6">
        <f>($AC63-H66)*1000</f>
        <v>7935.1523867288306</v>
      </c>
      <c r="AM83" t="s">
        <v>114</v>
      </c>
      <c r="AN83" s="2" t="s">
        <v>75</v>
      </c>
      <c r="AR83" s="2" t="s">
        <v>63</v>
      </c>
      <c r="AV83" s="2" t="s">
        <v>124</v>
      </c>
      <c r="AZ83" s="20"/>
      <c r="BA83" s="151" t="s">
        <v>5</v>
      </c>
      <c r="BB83" s="152" t="s">
        <v>4</v>
      </c>
      <c r="BC83" s="152" t="s">
        <v>6</v>
      </c>
      <c r="BD83" s="174"/>
      <c r="BE83" s="151" t="s">
        <v>5</v>
      </c>
      <c r="BF83" s="152" t="s">
        <v>4</v>
      </c>
      <c r="BG83" s="152" t="s">
        <v>6</v>
      </c>
      <c r="BH83" s="184"/>
    </row>
    <row r="84" spans="3:60" ht="15.75" thickBot="1">
      <c r="C84" s="2" t="s">
        <v>75</v>
      </c>
      <c r="D84" s="2"/>
      <c r="E84" s="2"/>
      <c r="F84" s="133">
        <f>(F63-F80)*1000</f>
        <v>3.0061533694230036</v>
      </c>
      <c r="G84" s="133">
        <f>(G63-G80)*1000</f>
        <v>1.4086426664086105</v>
      </c>
      <c r="H84" s="133">
        <f>(H63-H80)*1000</f>
        <v>1.671087547398642</v>
      </c>
      <c r="I84" s="133"/>
      <c r="J84" s="133">
        <f>(J63-J80)*1000</f>
        <v>-0.17787785231604403</v>
      </c>
      <c r="K84" s="133">
        <f>(K63-K80)*1000</f>
        <v>0.15142766484288472</v>
      </c>
      <c r="L84" s="133">
        <f>(L63-L80)*1000</f>
        <v>-3.1490933673854471</v>
      </c>
      <c r="M84" s="6"/>
      <c r="N84" s="6">
        <f>(N63-N80)*1000</f>
        <v>-0.29719984395981669</v>
      </c>
      <c r="O84" s="6">
        <f>(O63-O80)*1000</f>
        <v>0.13046658751036944</v>
      </c>
      <c r="P84" s="6">
        <f>(P63-P80)*1000</f>
        <v>-3.0611549665806592</v>
      </c>
      <c r="Q84" s="6"/>
      <c r="R84" s="6">
        <f>(R63-R80)*1000</f>
        <v>-0.26637902709936156</v>
      </c>
      <c r="S84" s="6">
        <f>(S63-S80)*1000</f>
        <v>0.14512866159677174</v>
      </c>
      <c r="T84" s="6">
        <f>(T63-T80)*1000</f>
        <v>-3.0452757121874896</v>
      </c>
      <c r="U84" s="6">
        <f t="shared" ref="U84" si="42">(U79-U61)*1000</f>
        <v>0</v>
      </c>
      <c r="V84" s="6">
        <f>(V63-V80)*1000</f>
        <v>-0.16334298448228424</v>
      </c>
      <c r="W84" s="6">
        <f>(W63-W80)*1000</f>
        <v>0.11657981382029448</v>
      </c>
      <c r="X84" s="6">
        <f>(X63-X80)*1000</f>
        <v>-3.1293332942787799</v>
      </c>
      <c r="Y84" s="8"/>
      <c r="AE84" s="40" t="s">
        <v>63</v>
      </c>
      <c r="AF84" s="6">
        <f>($AA66-F67)*1000</f>
        <v>74.642907737372255</v>
      </c>
      <c r="AG84" s="6">
        <f>($AB66-G67)*1000</f>
        <v>-50.461976621214433</v>
      </c>
      <c r="AH84" s="6">
        <f>($AC66-H67)*1000</f>
        <v>111.31664384529394</v>
      </c>
      <c r="AN84" s="14" t="s">
        <v>5</v>
      </c>
      <c r="AO84" s="124" t="s">
        <v>4</v>
      </c>
      <c r="AP84" s="124" t="s">
        <v>6</v>
      </c>
      <c r="AR84" s="14" t="s">
        <v>5</v>
      </c>
      <c r="AS84" s="124" t="s">
        <v>4</v>
      </c>
      <c r="AT84" s="124" t="s">
        <v>6</v>
      </c>
      <c r="AV84" s="14" t="s">
        <v>5</v>
      </c>
      <c r="AW84" s="124" t="s">
        <v>4</v>
      </c>
      <c r="AX84" s="124" t="s">
        <v>6</v>
      </c>
      <c r="AZ84" s="180" t="s">
        <v>157</v>
      </c>
      <c r="BA84" s="185">
        <f>AVERAGE(AJ73,AN73,AR73,AV73)</f>
        <v>-1.5632612974902926</v>
      </c>
      <c r="BB84" s="185">
        <f>AVERAGE(AK73,AO73,AS73,AW73)</f>
        <v>6.8637272768041768</v>
      </c>
      <c r="BC84" s="185">
        <f>AVERAGE(AL73,AP73,AT73,AX73)</f>
        <v>4.1881478911243164</v>
      </c>
      <c r="BD84" s="186"/>
      <c r="BE84" s="185">
        <f>STDEV(AJ73,AN73,AR73,AV73)</f>
        <v>1.4235702308916023</v>
      </c>
      <c r="BF84" s="185">
        <f>STDEV(AK73,AO73,AS73,AW73)</f>
        <v>9.3847197739871557</v>
      </c>
      <c r="BG84" s="185">
        <f>STDEV(AL73,AP73,AT73,AX73)</f>
        <v>13.120200113359431</v>
      </c>
      <c r="BH84" s="187">
        <f>COUNTA(AJ73,AN73,AR73,AV73)</f>
        <v>4</v>
      </c>
    </row>
    <row r="85" spans="3:60">
      <c r="C85" s="2" t="s">
        <v>63</v>
      </c>
      <c r="F85" s="133"/>
      <c r="G85" s="133"/>
      <c r="H85" s="133"/>
      <c r="J85" s="133">
        <f t="shared" ref="J85:L85" si="43">(J66-J81)*1000</f>
        <v>-3484.2000000000012</v>
      </c>
      <c r="K85" s="133">
        <f t="shared" si="43"/>
        <v>23847.9</v>
      </c>
      <c r="L85" s="133">
        <f t="shared" si="43"/>
        <v>1774.1000000000006</v>
      </c>
      <c r="N85" s="6">
        <f t="shared" ref="N85:P85" si="44">(N66-N81)*1000</f>
        <v>-3485.0999999999958</v>
      </c>
      <c r="O85" s="6">
        <f t="shared" si="44"/>
        <v>23848.100000000002</v>
      </c>
      <c r="P85" s="6">
        <f t="shared" si="44"/>
        <v>1775.0000000000005</v>
      </c>
      <c r="AE85" s="40" t="s">
        <v>124</v>
      </c>
      <c r="AF85" s="6">
        <f>($AA67-F71)*1000</f>
        <v>-75602.048283172087</v>
      </c>
      <c r="AG85" s="6">
        <f>($AB67-G71)*1000</f>
        <v>45621.496962514415</v>
      </c>
      <c r="AH85" s="6">
        <f>($AC67-H71)*1000</f>
        <v>10167.281771181317</v>
      </c>
      <c r="AM85">
        <v>2013</v>
      </c>
      <c r="AN85" s="1">
        <f>AE63</f>
        <v>29024.263169432186</v>
      </c>
      <c r="AO85" s="1">
        <f>AF63</f>
        <v>9580.1125075580239</v>
      </c>
      <c r="AP85" s="1">
        <f>AG63</f>
        <v>8872.6536406897358</v>
      </c>
      <c r="AR85" s="1">
        <f>AE67</f>
        <v>74.642907737372255</v>
      </c>
      <c r="AS85" s="1">
        <f>AF67</f>
        <v>-50.461976621214433</v>
      </c>
      <c r="AT85" s="1">
        <f>AG67</f>
        <v>111.31664384529394</v>
      </c>
      <c r="AV85" s="1">
        <f>AE68</f>
        <v>29098.906077169555</v>
      </c>
      <c r="AW85" s="1">
        <f>AF68</f>
        <v>9529.650530936804</v>
      </c>
      <c r="AX85" s="1">
        <f>AG68</f>
        <v>8983.9702845350257</v>
      </c>
    </row>
    <row r="86" spans="3:60">
      <c r="C86" s="2" t="s">
        <v>64</v>
      </c>
      <c r="F86" s="133"/>
      <c r="G86" s="133"/>
      <c r="H86" s="133"/>
      <c r="J86" s="133">
        <f t="shared" ref="J86:L86" si="45">(J67-J82)*1000</f>
        <v>17411.132591791349</v>
      </c>
      <c r="K86" s="133">
        <f t="shared" si="45"/>
        <v>-31368.876034342506</v>
      </c>
      <c r="L86" s="133">
        <f t="shared" si="45"/>
        <v>-1960.3679156009975</v>
      </c>
      <c r="N86" s="6">
        <f t="shared" ref="N86:P86" si="46">(N67-N82)*1000</f>
        <v>17413.550867653667</v>
      </c>
      <c r="O86" s="6">
        <f t="shared" si="46"/>
        <v>-31370.359059256836</v>
      </c>
      <c r="P86" s="6">
        <f t="shared" si="46"/>
        <v>-1959.9803662660306</v>
      </c>
      <c r="AM86">
        <v>2000</v>
      </c>
      <c r="AN86" s="1">
        <f>AJ63</f>
        <v>29025.247200653928</v>
      </c>
      <c r="AO86" s="1">
        <f>AK63</f>
        <v>9582.9697225595901</v>
      </c>
      <c r="AP86" s="1">
        <f>AL63</f>
        <v>8877.0738216045211</v>
      </c>
      <c r="AR86" s="1">
        <f>AJ67</f>
        <v>74.228952747518832</v>
      </c>
      <c r="AS86" s="1">
        <f>AK67</f>
        <v>-51.778265747707053</v>
      </c>
      <c r="AT86" s="1">
        <f>AL67</f>
        <v>43.418588241586065</v>
      </c>
      <c r="AV86" s="1">
        <f>AJ68</f>
        <v>29099.476153401447</v>
      </c>
      <c r="AW86" s="1">
        <f>AK68</f>
        <v>9531.1914568118773</v>
      </c>
      <c r="AX86" s="1">
        <f>AL68</f>
        <v>8920.4924098461051</v>
      </c>
    </row>
    <row r="87" spans="3:60">
      <c r="AM87">
        <v>1999</v>
      </c>
      <c r="AN87" s="1">
        <f>AN63</f>
        <v>29027.566522645568</v>
      </c>
      <c r="AO87" s="1">
        <f>AO63</f>
        <v>9581.3906836369224</v>
      </c>
      <c r="AP87" s="1">
        <f>AP63</f>
        <v>8877.3858832037149</v>
      </c>
      <c r="AR87" s="1">
        <f>AN67</f>
        <v>73.110676885206345</v>
      </c>
      <c r="AS87" s="1">
        <f>AO67</f>
        <v>-51.695240833375067</v>
      </c>
      <c r="AT87" s="1">
        <f>AP67</f>
        <v>44.331038906618048</v>
      </c>
      <c r="AV87" s="1">
        <f>AN68</f>
        <v>29100.677199530772</v>
      </c>
      <c r="AW87" s="1">
        <f>AO68</f>
        <v>9529.6954428035478</v>
      </c>
      <c r="AX87" s="1">
        <f>AP68</f>
        <v>8921.7169221103304</v>
      </c>
    </row>
    <row r="88" spans="3:60">
      <c r="AM88">
        <v>1998</v>
      </c>
      <c r="AN88" s="1">
        <f>AR63</f>
        <v>29024.735701828704</v>
      </c>
      <c r="AO88" s="1">
        <f>AS63</f>
        <v>9579.9760215628357</v>
      </c>
      <c r="AP88" s="1">
        <f>AT63</f>
        <v>8876.2700039493229</v>
      </c>
    </row>
    <row r="89" spans="3:60">
      <c r="AM89">
        <v>1997</v>
      </c>
      <c r="AN89" s="1">
        <f>AV63</f>
        <v>29022.932665786091</v>
      </c>
      <c r="AO89" s="1">
        <f>AW63</f>
        <v>9580.8045704106135</v>
      </c>
      <c r="AP89" s="1">
        <f>AX63</f>
        <v>8861.7540615314138</v>
      </c>
    </row>
    <row r="91" spans="3:60">
      <c r="AN91" s="1">
        <f>STDEV(AN85:AN89)</f>
        <v>1.6971897180568867</v>
      </c>
      <c r="AO91" s="1">
        <f>STDEV(AO85:AO89)</f>
        <v>1.2138734524078809</v>
      </c>
      <c r="AP91" s="1">
        <f>STDEV(AP85:AP89)</f>
        <v>6.5786062396661862</v>
      </c>
      <c r="AQ91" s="1"/>
      <c r="AR91" s="1">
        <f>STDEV(AR85:AR87)</f>
        <v>0.79263600538376089</v>
      </c>
      <c r="AS91" s="1">
        <f>STDEV(AS85:AS87)</f>
        <v>0.737162444548772</v>
      </c>
      <c r="AT91" s="1">
        <f>STDEV(AT85:AT87)</f>
        <v>38.940231530686184</v>
      </c>
      <c r="AU91" s="1"/>
      <c r="AV91" s="1">
        <f>STDEV(AV85:AV87)</f>
        <v>0.90409928781233717</v>
      </c>
      <c r="AW91" s="1">
        <f>STDEV(AW85:AW87)</f>
        <v>0.87697658096465581</v>
      </c>
      <c r="AX91" s="1">
        <f>STDEV(AX85:AX87)</f>
        <v>36.300645399423239</v>
      </c>
    </row>
  </sheetData>
  <mergeCells count="49">
    <mergeCell ref="BK61:BM61"/>
    <mergeCell ref="BA61:BC61"/>
    <mergeCell ref="BE61:BG61"/>
    <mergeCell ref="BO61:BQ61"/>
    <mergeCell ref="BE78:BG78"/>
    <mergeCell ref="BA73:BC73"/>
    <mergeCell ref="BE73:BG73"/>
    <mergeCell ref="BA82:BC82"/>
    <mergeCell ref="BE82:BG82"/>
    <mergeCell ref="N24:P24"/>
    <mergeCell ref="R24:T24"/>
    <mergeCell ref="V24:X24"/>
    <mergeCell ref="AF81:AG81"/>
    <mergeCell ref="BA78:BC78"/>
    <mergeCell ref="N61:P61"/>
    <mergeCell ref="R61:T61"/>
    <mergeCell ref="V61:X61"/>
    <mergeCell ref="J44:L44"/>
    <mergeCell ref="N44:P44"/>
    <mergeCell ref="R44:T44"/>
    <mergeCell ref="V44:X44"/>
    <mergeCell ref="F24:H24"/>
    <mergeCell ref="F44:H44"/>
    <mergeCell ref="F61:H61"/>
    <mergeCell ref="J61:L61"/>
    <mergeCell ref="J23:L23"/>
    <mergeCell ref="J24:L24"/>
    <mergeCell ref="N9:P9"/>
    <mergeCell ref="R9:T9"/>
    <mergeCell ref="V9:X9"/>
    <mergeCell ref="AD9:AF9"/>
    <mergeCell ref="F23:H23"/>
    <mergeCell ref="N23:P23"/>
    <mergeCell ref="CE9:CG9"/>
    <mergeCell ref="F9:H9"/>
    <mergeCell ref="Z9:AB9"/>
    <mergeCell ref="AT9:AV9"/>
    <mergeCell ref="BO9:BQ9"/>
    <mergeCell ref="BE9:BG9"/>
    <mergeCell ref="BI9:BK9"/>
    <mergeCell ref="BS9:BU9"/>
    <mergeCell ref="BW9:BY9"/>
    <mergeCell ref="CA9:CC9"/>
    <mergeCell ref="AH9:AJ9"/>
    <mergeCell ref="AL9:AN9"/>
    <mergeCell ref="AP9:AR9"/>
    <mergeCell ref="AW9:AY9"/>
    <mergeCell ref="BA9:BC9"/>
    <mergeCell ref="J9:L9"/>
  </mergeCell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51503-8BD5-49C1-A575-3134DE12DCD5}">
  <dimension ref="A3:AQ61"/>
  <sheetViews>
    <sheetView workbookViewId="0"/>
  </sheetViews>
  <sheetFormatPr defaultRowHeight="15"/>
  <cols>
    <col min="1" max="1" width="12.5703125" customWidth="1"/>
    <col min="2" max="2" width="10" customWidth="1"/>
    <col min="3" max="3" width="4.140625" customWidth="1"/>
    <col min="4" max="4" width="2.5703125" customWidth="1"/>
    <col min="6" max="6" width="12.5703125" bestFit="1" customWidth="1"/>
    <col min="8" max="8" width="9.5703125" customWidth="1"/>
    <col min="9" max="10" width="12.7109375" bestFit="1" customWidth="1"/>
    <col min="11" max="11" width="9.42578125" customWidth="1"/>
    <col min="12" max="12" width="4.42578125" customWidth="1"/>
    <col min="15" max="15" width="10.28515625" customWidth="1"/>
    <col min="16" max="16" width="9" customWidth="1"/>
    <col min="19" max="22" width="10" customWidth="1"/>
    <col min="24" max="24" width="5.140625" customWidth="1"/>
    <col min="25" max="35" width="6.5703125" customWidth="1"/>
    <col min="36" max="36" width="2.28515625" customWidth="1"/>
    <col min="37" max="39" width="6.5703125" customWidth="1"/>
  </cols>
  <sheetData>
    <row r="3" spans="1:35">
      <c r="E3" s="320" t="s">
        <v>27</v>
      </c>
      <c r="F3" s="320"/>
      <c r="G3" s="320"/>
      <c r="I3" s="321"/>
      <c r="J3" s="321"/>
      <c r="K3" s="321"/>
      <c r="M3" s="321"/>
      <c r="N3" s="321"/>
      <c r="O3" s="321"/>
      <c r="Q3" s="321"/>
      <c r="R3" s="321"/>
      <c r="S3" s="321"/>
      <c r="T3" s="13"/>
      <c r="U3" s="13"/>
      <c r="V3" s="13"/>
      <c r="Z3" t="s">
        <v>38</v>
      </c>
      <c r="AA3" t="s">
        <v>39</v>
      </c>
      <c r="AC3" t="s">
        <v>66</v>
      </c>
    </row>
    <row r="4" spans="1:35" ht="15.75" thickBot="1">
      <c r="E4" s="359" t="s">
        <v>13</v>
      </c>
      <c r="F4" s="359"/>
      <c r="G4" s="359"/>
      <c r="I4" s="313" t="s">
        <v>12</v>
      </c>
      <c r="J4" s="313"/>
      <c r="K4" s="313"/>
      <c r="M4" s="313" t="s">
        <v>11</v>
      </c>
      <c r="N4" s="313"/>
      <c r="O4" s="313"/>
      <c r="Q4" s="313" t="s">
        <v>10</v>
      </c>
      <c r="R4" s="313"/>
      <c r="S4" s="313"/>
      <c r="U4" s="313" t="s">
        <v>9</v>
      </c>
      <c r="V4" s="313"/>
      <c r="W4" s="313"/>
      <c r="X4" s="11"/>
      <c r="Y4" s="312" t="s">
        <v>34</v>
      </c>
      <c r="Z4" s="312"/>
      <c r="AA4" s="312"/>
      <c r="AC4" s="312" t="s">
        <v>35</v>
      </c>
      <c r="AD4" s="312"/>
      <c r="AE4" s="312"/>
      <c r="AG4" s="312" t="s">
        <v>36</v>
      </c>
      <c r="AH4" s="312"/>
      <c r="AI4" s="312"/>
    </row>
    <row r="5" spans="1:35">
      <c r="A5" s="170" t="s">
        <v>169</v>
      </c>
      <c r="B5" s="17"/>
      <c r="C5" s="18"/>
      <c r="D5" s="38"/>
      <c r="E5" s="44" t="s">
        <v>4</v>
      </c>
      <c r="F5" s="25" t="s">
        <v>5</v>
      </c>
      <c r="G5" s="26" t="s">
        <v>6</v>
      </c>
      <c r="H5" s="46"/>
      <c r="I5" s="44" t="s">
        <v>4</v>
      </c>
      <c r="J5" s="25" t="s">
        <v>5</v>
      </c>
      <c r="K5" s="26" t="s">
        <v>6</v>
      </c>
      <c r="L5" s="46"/>
      <c r="M5" s="44" t="s">
        <v>4</v>
      </c>
      <c r="N5" s="25" t="s">
        <v>5</v>
      </c>
      <c r="O5" s="26" t="s">
        <v>6</v>
      </c>
      <c r="P5" s="46"/>
      <c r="Q5" s="44" t="s">
        <v>4</v>
      </c>
      <c r="R5" s="25" t="s">
        <v>5</v>
      </c>
      <c r="S5" s="26" t="s">
        <v>6</v>
      </c>
      <c r="T5" s="46"/>
      <c r="U5" s="44" t="s">
        <v>4</v>
      </c>
      <c r="V5" s="25" t="s">
        <v>5</v>
      </c>
      <c r="W5" s="26" t="s">
        <v>6</v>
      </c>
      <c r="X5" s="57"/>
      <c r="Y5" s="14" t="s">
        <v>4</v>
      </c>
      <c r="Z5" s="14" t="s">
        <v>5</v>
      </c>
      <c r="AA5" s="14" t="s">
        <v>6</v>
      </c>
      <c r="AB5" s="2"/>
      <c r="AC5" s="14" t="s">
        <v>4</v>
      </c>
      <c r="AD5" s="14" t="s">
        <v>5</v>
      </c>
      <c r="AE5" s="14" t="s">
        <v>6</v>
      </c>
      <c r="AF5" s="2"/>
      <c r="AG5" s="14" t="s">
        <v>4</v>
      </c>
      <c r="AH5" s="14" t="s">
        <v>5</v>
      </c>
      <c r="AI5" s="14" t="s">
        <v>6</v>
      </c>
    </row>
    <row r="6" spans="1:35">
      <c r="A6" t="s">
        <v>174</v>
      </c>
      <c r="B6" s="27" t="s">
        <v>32</v>
      </c>
      <c r="C6" s="14"/>
      <c r="D6" s="39"/>
      <c r="E6" s="27">
        <v>5.8456999999999999</v>
      </c>
      <c r="F6" s="14">
        <v>-18.793099999999999</v>
      </c>
      <c r="G6" s="28">
        <v>8.9722000000000008</v>
      </c>
      <c r="H6" s="47"/>
      <c r="I6" s="27">
        <v>5.8441000000000001</v>
      </c>
      <c r="J6" s="14">
        <v>-18.790700000000001</v>
      </c>
      <c r="K6" s="28">
        <v>8.9849999999999994</v>
      </c>
      <c r="L6" s="47"/>
      <c r="M6" s="27">
        <v>5.8460999999999999</v>
      </c>
      <c r="N6" s="14">
        <v>-18.788799999999998</v>
      </c>
      <c r="O6" s="28">
        <v>8.9885999999999999</v>
      </c>
      <c r="P6" s="47"/>
      <c r="Q6" s="27">
        <v>5.8445</v>
      </c>
      <c r="R6" s="14">
        <v>-18.790299999999998</v>
      </c>
      <c r="S6" s="28">
        <v>8.9867000000000008</v>
      </c>
      <c r="T6" s="47"/>
      <c r="U6" s="27">
        <v>5.8445</v>
      </c>
      <c r="V6" s="14">
        <v>-18.790199999999999</v>
      </c>
      <c r="W6" s="28">
        <v>8.9860000000000007</v>
      </c>
      <c r="X6" s="16"/>
      <c r="Y6" s="1">
        <f>(E6-$Q6)*1000</f>
        <v>1.1999999999998678</v>
      </c>
      <c r="Z6" s="1">
        <f>(F6-$R6)*1000</f>
        <v>-2.8000000000005798</v>
      </c>
      <c r="AA6" s="1">
        <f>(G6-$S6)*1000</f>
        <v>-14.499999999999957</v>
      </c>
      <c r="AB6" s="1"/>
      <c r="AC6" s="1">
        <f>(I6-$Q6)*1000</f>
        <v>-0.39999999999995595</v>
      </c>
      <c r="AD6" s="1">
        <f>(J6-$R6)*1000</f>
        <v>-0.40000000000262048</v>
      </c>
      <c r="AE6" s="1">
        <f>(K6-$S6)*1000</f>
        <v>-1.7000000000013671</v>
      </c>
      <c r="AF6" s="1"/>
      <c r="AG6" s="1">
        <f>(M6-$Q6)*1000</f>
        <v>1.5999999999998238</v>
      </c>
      <c r="AH6" s="1">
        <f>(N6-$R6)*1000</f>
        <v>1.5000000000000568</v>
      </c>
      <c r="AI6" s="1">
        <f>(O6-$S6)*1000</f>
        <v>1.8999999999991246</v>
      </c>
    </row>
    <row r="7" spans="1:35">
      <c r="A7" t="s">
        <v>175</v>
      </c>
      <c r="B7" s="20" t="s">
        <v>21</v>
      </c>
      <c r="C7" s="2"/>
      <c r="D7" s="40"/>
      <c r="E7" s="27"/>
      <c r="F7" s="14"/>
      <c r="G7" s="28"/>
      <c r="H7" s="48"/>
      <c r="I7" s="27"/>
      <c r="J7" s="14"/>
      <c r="K7" s="28"/>
      <c r="L7" s="48"/>
      <c r="M7" s="27">
        <v>13.3683</v>
      </c>
      <c r="N7" s="14">
        <v>-32.716900000000003</v>
      </c>
      <c r="O7" s="28">
        <v>9.1752000000000002</v>
      </c>
      <c r="P7" s="48"/>
      <c r="Q7" s="27">
        <v>13.3653</v>
      </c>
      <c r="R7" s="14">
        <v>-32.717100000000002</v>
      </c>
      <c r="S7" s="28">
        <v>9.1745999999999999</v>
      </c>
      <c r="T7" s="48"/>
      <c r="U7" s="27"/>
      <c r="V7" s="14"/>
      <c r="W7" s="28"/>
      <c r="X7" s="16"/>
      <c r="Y7" s="1"/>
      <c r="Z7" s="1"/>
      <c r="AA7" s="1"/>
      <c r="AB7" s="1"/>
      <c r="AC7" s="1"/>
      <c r="AD7" s="1"/>
      <c r="AE7" s="1"/>
      <c r="AF7" s="1"/>
      <c r="AG7" s="1">
        <f t="shared" ref="AG7:AG9" si="0">(M7-$Q7)*1000</f>
        <v>3.0000000000001137</v>
      </c>
      <c r="AH7" s="1">
        <f t="shared" ref="AH7:AH9" si="1">(N7-$R7)*1000</f>
        <v>0.19999999999953388</v>
      </c>
      <c r="AI7" s="1">
        <f t="shared" ref="AI7:AI9" si="2">(O7-$S7)*1000</f>
        <v>0.60000000000037801</v>
      </c>
    </row>
    <row r="8" spans="1:35">
      <c r="A8" t="s">
        <v>176</v>
      </c>
      <c r="B8" s="20" t="s">
        <v>62</v>
      </c>
      <c r="C8" s="2"/>
      <c r="D8" s="40"/>
      <c r="E8" s="27">
        <v>37.2166</v>
      </c>
      <c r="F8" s="14">
        <v>-36.201799999999999</v>
      </c>
      <c r="G8" s="28">
        <v>10.9495</v>
      </c>
      <c r="H8" s="48"/>
      <c r="I8" s="27">
        <v>37.215800000000002</v>
      </c>
      <c r="J8" s="14">
        <v>-36.201099999999997</v>
      </c>
      <c r="K8" s="28">
        <v>10.947699999999999</v>
      </c>
      <c r="L8" s="48"/>
      <c r="M8" s="27">
        <v>37.2164</v>
      </c>
      <c r="N8" s="14">
        <v>-36.201999999999998</v>
      </c>
      <c r="O8" s="28">
        <v>10.950200000000001</v>
      </c>
      <c r="P8" s="48"/>
      <c r="Q8" s="27">
        <v>37.213200000000001</v>
      </c>
      <c r="R8" s="14">
        <v>-36.201300000000003</v>
      </c>
      <c r="S8" s="28">
        <v>10.948700000000001</v>
      </c>
      <c r="T8" s="48"/>
      <c r="U8" s="27">
        <v>37.216099999999997</v>
      </c>
      <c r="V8" s="14">
        <v>-36.200299999999999</v>
      </c>
      <c r="W8" s="28">
        <v>10.952199999999999</v>
      </c>
      <c r="X8" s="16"/>
      <c r="Y8" s="1">
        <f t="shared" ref="Y8" si="3">(E8-$Q8)*1000</f>
        <v>3.3999999999991815</v>
      </c>
      <c r="Z8" s="1">
        <f t="shared" ref="Z8" si="4">(F8-$R8)*1000</f>
        <v>-0.499999999995282</v>
      </c>
      <c r="AA8" s="1">
        <f t="shared" ref="AA8" si="5">(G8-$S8)*1000</f>
        <v>0.79999999999991189</v>
      </c>
      <c r="AB8" s="1"/>
      <c r="AC8" s="1">
        <f t="shared" ref="AC8" si="6">(I8-$Q8)*1000</f>
        <v>2.6000000000010459</v>
      </c>
      <c r="AD8" s="1">
        <f t="shared" ref="AD8" si="7">(J8-$R8)*1000</f>
        <v>0.20000000000663931</v>
      </c>
      <c r="AE8" s="1">
        <f t="shared" ref="AE8" si="8">(K8-$S8)*1000</f>
        <v>-1.0000000000012221</v>
      </c>
      <c r="AF8" s="1"/>
      <c r="AG8" s="1">
        <f t="shared" si="0"/>
        <v>3.1999999999996476</v>
      </c>
      <c r="AH8" s="1">
        <f t="shared" si="1"/>
        <v>-0.69999999999481588</v>
      </c>
      <c r="AI8" s="1">
        <f t="shared" si="2"/>
        <v>1.5000000000000568</v>
      </c>
    </row>
    <row r="9" spans="1:35" ht="15.75" thickBot="1">
      <c r="B9" s="22" t="s">
        <v>37</v>
      </c>
      <c r="C9" s="23"/>
      <c r="D9" s="41"/>
      <c r="E9" s="45"/>
      <c r="F9" s="29"/>
      <c r="G9" s="30"/>
      <c r="H9" s="49"/>
      <c r="I9" s="45"/>
      <c r="J9" s="29"/>
      <c r="K9" s="30"/>
      <c r="L9" s="49"/>
      <c r="M9" s="45">
        <v>16.5625</v>
      </c>
      <c r="N9" s="29">
        <v>-19.862200000000001</v>
      </c>
      <c r="O9" s="30">
        <v>9.2847000000000008</v>
      </c>
      <c r="P9" s="49"/>
      <c r="Q9" s="45">
        <v>16.5596</v>
      </c>
      <c r="R9" s="29">
        <v>-19.861499999999999</v>
      </c>
      <c r="S9" s="30">
        <v>9.2847000000000008</v>
      </c>
      <c r="T9" s="49"/>
      <c r="U9" s="45"/>
      <c r="V9" s="29"/>
      <c r="W9" s="30"/>
      <c r="X9" s="16"/>
      <c r="Y9" s="1"/>
      <c r="Z9" s="1"/>
      <c r="AA9" s="1"/>
      <c r="AB9" s="1"/>
      <c r="AC9" s="1"/>
      <c r="AD9" s="1"/>
      <c r="AE9" s="1"/>
      <c r="AF9" s="1"/>
      <c r="AG9" s="1">
        <f t="shared" si="0"/>
        <v>2.9000000000003467</v>
      </c>
      <c r="AH9" s="1">
        <f t="shared" si="1"/>
        <v>-0.70000000000192131</v>
      </c>
      <c r="AI9" s="1">
        <f t="shared" si="2"/>
        <v>0</v>
      </c>
    </row>
    <row r="10" spans="1:35">
      <c r="B10" s="7"/>
      <c r="C10" s="7"/>
      <c r="D10" s="7"/>
      <c r="E10" s="16"/>
      <c r="F10" s="16"/>
      <c r="G10" s="16"/>
      <c r="H10" s="7"/>
      <c r="I10" s="16"/>
      <c r="J10" s="16"/>
      <c r="K10" s="16"/>
      <c r="L10" s="7"/>
      <c r="M10" s="16"/>
      <c r="N10" s="16"/>
      <c r="O10" s="16"/>
      <c r="P10" s="7"/>
      <c r="Q10" s="16"/>
      <c r="R10" s="16"/>
      <c r="S10" s="16"/>
      <c r="T10" s="16"/>
      <c r="U10" s="16"/>
      <c r="V10" s="16"/>
    </row>
    <row r="11" spans="1:35">
      <c r="B11" t="s">
        <v>60</v>
      </c>
      <c r="C11" s="7"/>
      <c r="D11" s="7"/>
      <c r="E11" s="316" t="s">
        <v>10</v>
      </c>
      <c r="F11" s="316"/>
      <c r="G11" s="316"/>
      <c r="H11" s="7"/>
      <c r="I11" s="316" t="s">
        <v>10</v>
      </c>
      <c r="J11" s="316"/>
      <c r="K11" s="316"/>
      <c r="L11" s="7"/>
      <c r="M11" s="16"/>
      <c r="N11" s="16"/>
      <c r="O11" s="16"/>
      <c r="P11" s="7"/>
      <c r="Q11" s="16"/>
      <c r="R11" s="16"/>
      <c r="S11" s="16"/>
      <c r="T11" s="16"/>
      <c r="U11" s="16"/>
      <c r="V11" s="16"/>
    </row>
    <row r="12" spans="1:35">
      <c r="B12" s="31" t="s">
        <v>48</v>
      </c>
      <c r="C12" s="7"/>
      <c r="D12" s="7"/>
      <c r="E12" s="14" t="s">
        <v>22</v>
      </c>
      <c r="F12" s="14" t="s">
        <v>23</v>
      </c>
      <c r="G12" s="14" t="s">
        <v>24</v>
      </c>
      <c r="H12" s="7"/>
      <c r="I12" s="14" t="s">
        <v>5</v>
      </c>
      <c r="J12" s="14" t="s">
        <v>4</v>
      </c>
      <c r="K12" s="14" t="s">
        <v>6</v>
      </c>
      <c r="L12" s="7"/>
      <c r="M12" s="16"/>
      <c r="N12" s="16"/>
      <c r="O12" s="16"/>
      <c r="P12" s="7"/>
      <c r="Q12" s="16"/>
      <c r="R12" s="16"/>
      <c r="S12" s="16"/>
      <c r="T12" s="16"/>
      <c r="U12" s="16"/>
      <c r="V12" s="16"/>
    </row>
    <row r="13" spans="1:35">
      <c r="B13" s="14" t="s">
        <v>32</v>
      </c>
      <c r="C13" s="7"/>
      <c r="D13" s="7"/>
      <c r="E13" s="6">
        <v>0.2</v>
      </c>
      <c r="F13" s="6">
        <v>0.3</v>
      </c>
      <c r="G13" s="6">
        <v>1.5</v>
      </c>
      <c r="H13" s="7"/>
      <c r="I13" s="6">
        <f t="array" ref="I13:K13">TRANSPOSE(M51:M53)</f>
        <v>1.2263940474148156</v>
      </c>
      <c r="J13" s="6">
        <v>0.26250299409255901</v>
      </c>
      <c r="K13" s="6">
        <v>0.89861512237222496</v>
      </c>
      <c r="L13" s="7"/>
      <c r="M13" s="16"/>
      <c r="N13" s="16"/>
      <c r="O13" s="16"/>
      <c r="P13" s="7"/>
      <c r="Q13" s="16"/>
      <c r="R13" s="16"/>
      <c r="S13" s="16"/>
      <c r="T13" s="16"/>
      <c r="U13" s="16"/>
      <c r="V13" s="16"/>
    </row>
    <row r="14" spans="1:35">
      <c r="B14" s="2" t="s">
        <v>21</v>
      </c>
      <c r="E14" s="6">
        <v>0.1</v>
      </c>
      <c r="F14" s="6">
        <v>0.2</v>
      </c>
      <c r="G14" s="6">
        <v>0.1</v>
      </c>
      <c r="H14" t="s">
        <v>59</v>
      </c>
      <c r="I14" s="6">
        <f t="array" ref="I14:K14">TRANSPOSE(M47:M49)</f>
        <v>0.11963704092372285</v>
      </c>
      <c r="J14" s="6">
        <v>0.16535380942990913</v>
      </c>
      <c r="K14" s="6">
        <v>0.13548678765900707</v>
      </c>
    </row>
    <row r="15" spans="1:35">
      <c r="B15" s="2" t="s">
        <v>62</v>
      </c>
      <c r="C15" s="7"/>
      <c r="D15" s="7"/>
      <c r="E15" s="6">
        <v>0.4</v>
      </c>
      <c r="F15" s="6">
        <v>0.4</v>
      </c>
      <c r="G15" s="6">
        <v>0.3</v>
      </c>
      <c r="H15" s="7"/>
      <c r="I15" s="6">
        <f t="array" ref="I15:K15">TRANSPOSE(M55:M57)</f>
        <v>0.33741843045150055</v>
      </c>
      <c r="J15" s="6">
        <v>0.40003972589161113</v>
      </c>
      <c r="K15" s="6">
        <v>0.36912344829678195</v>
      </c>
      <c r="L15" s="7"/>
      <c r="M15" s="16"/>
      <c r="N15" s="16"/>
      <c r="O15" s="16"/>
      <c r="P15" s="7"/>
      <c r="Q15" s="16"/>
      <c r="R15" s="16"/>
      <c r="S15" s="16"/>
      <c r="T15" s="16"/>
      <c r="U15" s="16"/>
      <c r="V15" s="16"/>
    </row>
    <row r="16" spans="1:35">
      <c r="B16" s="2" t="s">
        <v>37</v>
      </c>
      <c r="C16" s="7"/>
      <c r="D16" s="7"/>
      <c r="E16" s="6">
        <v>0.1</v>
      </c>
      <c r="F16" s="6">
        <v>0.2</v>
      </c>
      <c r="G16" s="6">
        <v>0.1</v>
      </c>
      <c r="H16" s="7"/>
      <c r="I16" s="6">
        <f t="array" ref="I16:K16">TRANSPOSE(M59:M61)</f>
        <v>0.11963704092372285</v>
      </c>
      <c r="J16" s="6">
        <v>0.16535380942990913</v>
      </c>
      <c r="K16" s="6">
        <v>0.13548678765900707</v>
      </c>
      <c r="L16" s="7"/>
      <c r="M16" s="16"/>
      <c r="N16" s="16"/>
      <c r="O16" s="16"/>
      <c r="P16" s="7"/>
      <c r="Q16" s="16"/>
      <c r="R16" s="16"/>
      <c r="S16" s="16"/>
      <c r="T16" s="16"/>
      <c r="U16" s="16"/>
      <c r="V16" s="16"/>
    </row>
    <row r="17" spans="1:43">
      <c r="B17" s="7"/>
      <c r="C17" s="7"/>
      <c r="D17" s="7"/>
      <c r="E17" s="16"/>
      <c r="F17" s="16"/>
      <c r="G17" s="16"/>
      <c r="H17" s="7"/>
      <c r="I17" s="16"/>
      <c r="J17" s="16"/>
      <c r="K17" s="16"/>
      <c r="L17" s="7"/>
      <c r="M17" s="16"/>
      <c r="N17" s="16"/>
      <c r="O17" s="16"/>
      <c r="P17" s="7"/>
      <c r="Q17" s="16"/>
      <c r="R17" s="16"/>
      <c r="S17" s="16"/>
      <c r="T17" s="16"/>
      <c r="U17" s="16"/>
      <c r="V17" s="16"/>
    </row>
    <row r="18" spans="1:43">
      <c r="B18" s="7"/>
      <c r="C18" s="7"/>
      <c r="D18" s="7"/>
      <c r="E18" s="357" t="s">
        <v>13</v>
      </c>
      <c r="F18" s="357"/>
      <c r="G18" s="357"/>
      <c r="H18" s="56"/>
      <c r="I18" s="358" t="s">
        <v>12</v>
      </c>
      <c r="J18" s="358"/>
      <c r="K18" s="358"/>
      <c r="L18" s="56"/>
      <c r="M18" s="315" t="s">
        <v>11</v>
      </c>
      <c r="N18" s="315"/>
      <c r="O18" s="315"/>
      <c r="P18" s="2"/>
      <c r="Q18" s="315" t="s">
        <v>10</v>
      </c>
      <c r="R18" s="315"/>
      <c r="S18" s="315"/>
      <c r="T18" s="12"/>
      <c r="U18" s="315" t="s">
        <v>9</v>
      </c>
      <c r="V18" s="315"/>
      <c r="W18" s="315"/>
      <c r="X18" s="12"/>
      <c r="Y18" s="316" t="s">
        <v>33</v>
      </c>
      <c r="Z18" s="316"/>
      <c r="AA18" s="316"/>
      <c r="AB18" s="2"/>
      <c r="AC18" s="315" t="s">
        <v>34</v>
      </c>
      <c r="AD18" s="315"/>
      <c r="AE18" s="315"/>
      <c r="AF18" s="2"/>
      <c r="AG18" s="315" t="s">
        <v>35</v>
      </c>
      <c r="AH18" s="315"/>
      <c r="AI18" s="315"/>
      <c r="AO18" s="315" t="s">
        <v>9</v>
      </c>
      <c r="AP18" s="315"/>
      <c r="AQ18" s="315"/>
    </row>
    <row r="19" spans="1:43">
      <c r="B19" s="7"/>
      <c r="C19" s="7"/>
      <c r="D19" s="7"/>
      <c r="E19" s="14" t="s">
        <v>5</v>
      </c>
      <c r="F19" s="14" t="s">
        <v>4</v>
      </c>
      <c r="G19" s="14" t="s">
        <v>6</v>
      </c>
      <c r="H19" s="56"/>
      <c r="I19" s="14" t="s">
        <v>5</v>
      </c>
      <c r="J19" s="14" t="s">
        <v>4</v>
      </c>
      <c r="K19" s="14" t="s">
        <v>6</v>
      </c>
      <c r="L19" s="56"/>
      <c r="M19" s="14" t="s">
        <v>5</v>
      </c>
      <c r="N19" s="14" t="s">
        <v>4</v>
      </c>
      <c r="O19" s="14" t="s">
        <v>6</v>
      </c>
      <c r="P19" s="2"/>
      <c r="Q19" s="14" t="s">
        <v>5</v>
      </c>
      <c r="R19" s="14" t="s">
        <v>4</v>
      </c>
      <c r="S19" s="14" t="s">
        <v>6</v>
      </c>
      <c r="T19" s="106"/>
      <c r="U19" s="14" t="s">
        <v>5</v>
      </c>
      <c r="V19" s="14" t="s">
        <v>4</v>
      </c>
      <c r="W19" s="14" t="s">
        <v>6</v>
      </c>
      <c r="X19" s="106"/>
      <c r="Y19" s="14" t="s">
        <v>5</v>
      </c>
      <c r="Z19" s="14" t="s">
        <v>4</v>
      </c>
      <c r="AA19" s="14" t="s">
        <v>6</v>
      </c>
      <c r="AB19" s="2"/>
      <c r="AC19" s="14" t="s">
        <v>5</v>
      </c>
      <c r="AD19" s="14" t="s">
        <v>4</v>
      </c>
      <c r="AE19" s="14" t="s">
        <v>6</v>
      </c>
      <c r="AF19" s="2"/>
      <c r="AG19" s="14" t="s">
        <v>5</v>
      </c>
      <c r="AH19" s="14" t="s">
        <v>4</v>
      </c>
      <c r="AI19" s="14" t="s">
        <v>6</v>
      </c>
      <c r="AK19" s="14" t="s">
        <v>5</v>
      </c>
      <c r="AL19" s="14" t="s">
        <v>4</v>
      </c>
      <c r="AM19" s="14" t="s">
        <v>6</v>
      </c>
      <c r="AO19" s="14" t="s">
        <v>5</v>
      </c>
      <c r="AP19" s="14" t="s">
        <v>4</v>
      </c>
      <c r="AQ19" s="14" t="s">
        <v>6</v>
      </c>
    </row>
    <row r="20" spans="1:43">
      <c r="B20" s="2" t="s">
        <v>75</v>
      </c>
      <c r="C20" s="2"/>
      <c r="D20" s="2"/>
      <c r="E20" s="14">
        <f>E8-E6</f>
        <v>31.370899999999999</v>
      </c>
      <c r="F20" s="14">
        <f>F8-F6</f>
        <v>-17.4087</v>
      </c>
      <c r="G20" s="14">
        <f>G8-G6</f>
        <v>1.9772999999999996</v>
      </c>
      <c r="H20" s="2"/>
      <c r="I20" s="14">
        <f>I8-I6</f>
        <v>31.371700000000001</v>
      </c>
      <c r="J20" s="14">
        <f>J8-J6</f>
        <v>-17.410399999999996</v>
      </c>
      <c r="K20" s="14">
        <f>K8-K6</f>
        <v>1.9626999999999999</v>
      </c>
      <c r="L20" s="2"/>
      <c r="M20" s="14">
        <f>M8-M6</f>
        <v>31.3703</v>
      </c>
      <c r="N20" s="14">
        <f>N8-N6</f>
        <v>-17.4132</v>
      </c>
      <c r="O20" s="14">
        <f>O8-O6</f>
        <v>1.9616000000000007</v>
      </c>
      <c r="P20" s="2"/>
      <c r="Q20" s="14">
        <f>Q8-Q6</f>
        <v>31.3687</v>
      </c>
      <c r="R20" s="14">
        <f>R8-R6</f>
        <v>-17.411000000000005</v>
      </c>
      <c r="S20" s="14">
        <f>S8-S6</f>
        <v>1.9619999999999997</v>
      </c>
      <c r="T20" s="14"/>
      <c r="U20" s="14">
        <f>U8-U6</f>
        <v>31.371599999999997</v>
      </c>
      <c r="V20" s="14">
        <f>V8-V6</f>
        <v>-17.4101</v>
      </c>
      <c r="W20" s="14">
        <f>W8-W6</f>
        <v>1.9661999999999988</v>
      </c>
      <c r="X20" s="14"/>
      <c r="Y20" s="6">
        <f>(E20-$Q20)*1000</f>
        <v>2.1999999999984254</v>
      </c>
      <c r="Z20" s="6">
        <f>(F20-$R20)*1000</f>
        <v>2.3000000000052978</v>
      </c>
      <c r="AA20" s="6">
        <f>(G20-$S20)*1000</f>
        <v>15.299999999999869</v>
      </c>
      <c r="AB20" s="6"/>
      <c r="AC20" s="6">
        <f>(I20-$Q20)*1000</f>
        <v>3.0000000000001137</v>
      </c>
      <c r="AD20" s="6">
        <f>(J20-$R20)*1000</f>
        <v>0.60000000000925979</v>
      </c>
      <c r="AE20" s="6">
        <f>(K20-$S20)*1000</f>
        <v>0.70000000000014495</v>
      </c>
      <c r="AF20" s="6"/>
      <c r="AG20" s="6">
        <f>(M20-$Q20)*1000</f>
        <v>1.5999999999998238</v>
      </c>
      <c r="AH20" s="6">
        <f>(N20-$R20)*1000</f>
        <v>-2.1999999999948727</v>
      </c>
      <c r="AI20" s="6">
        <f>(O20-$S20)*1000</f>
        <v>-0.39999999999906777</v>
      </c>
      <c r="AK20" s="6">
        <f>SQRT(I51+I55)</f>
        <v>1.2719644479083712</v>
      </c>
      <c r="AL20" s="6">
        <f>SQRT(J52+J56)</f>
        <v>0.47847633609092249</v>
      </c>
      <c r="AM20" s="6">
        <f>SQRT(K53+K57)</f>
        <v>0.97147375581564521</v>
      </c>
      <c r="AO20" s="6">
        <f>(U20-$Q20)*1000</f>
        <v>2.899999999996794</v>
      </c>
      <c r="AP20" s="6">
        <f>(V20-$R20)*1000</f>
        <v>0.90000000000500791</v>
      </c>
      <c r="AQ20" s="6">
        <f>(W20-$S20)*1000</f>
        <v>4.1999999999990933</v>
      </c>
    </row>
    <row r="21" spans="1:43">
      <c r="B21" s="2" t="s">
        <v>63</v>
      </c>
      <c r="C21" s="2"/>
      <c r="D21" s="2"/>
      <c r="E21" s="14"/>
      <c r="F21" s="14"/>
      <c r="G21" s="14"/>
      <c r="H21" s="2"/>
      <c r="I21" s="14"/>
      <c r="J21" s="14"/>
      <c r="K21" s="14"/>
      <c r="L21" s="2"/>
      <c r="M21" s="14">
        <f>M7-M8</f>
        <v>-23.848100000000002</v>
      </c>
      <c r="N21" s="14">
        <f>N7-N8</f>
        <v>3.4850999999999956</v>
      </c>
      <c r="O21" s="14">
        <f>O7-O8</f>
        <v>-1.7750000000000004</v>
      </c>
      <c r="P21" s="2"/>
      <c r="Q21" s="50">
        <f>Q7-Q8</f>
        <v>-23.847900000000003</v>
      </c>
      <c r="R21" s="50">
        <f>R7-R8</f>
        <v>3.4842000000000013</v>
      </c>
      <c r="S21" s="50">
        <f>S7-S8</f>
        <v>-1.7741000000000007</v>
      </c>
      <c r="T21" s="16"/>
      <c r="U21" s="16"/>
      <c r="V21" s="16"/>
      <c r="Y21" s="6"/>
      <c r="Z21" s="6"/>
      <c r="AA21" s="6"/>
      <c r="AB21" s="6"/>
      <c r="AC21" s="6"/>
      <c r="AD21" s="6"/>
      <c r="AE21" s="6"/>
      <c r="AF21" s="6"/>
      <c r="AG21" s="6">
        <f>(M21-$Q21)*1000</f>
        <v>-0.19999999999953388</v>
      </c>
      <c r="AH21" s="6">
        <f>(N21-$R21)*1000</f>
        <v>0.89999999999434976</v>
      </c>
      <c r="AI21" s="6">
        <f>(O21-$S21)*1000</f>
        <v>-0.89999999999967883</v>
      </c>
      <c r="AK21" s="6">
        <f>SQRT(I47+I55)</f>
        <v>0.35800030554363871</v>
      </c>
      <c r="AL21" s="6">
        <f>SQRT(J48+J56)</f>
        <v>0.43286679773853998</v>
      </c>
      <c r="AM21" s="6">
        <f>SQRT(K49+K57)</f>
        <v>0.3932032422458695</v>
      </c>
    </row>
    <row r="22" spans="1:43">
      <c r="B22" s="2" t="s">
        <v>64</v>
      </c>
      <c r="C22" s="7"/>
      <c r="D22" s="7"/>
      <c r="E22" s="16"/>
      <c r="F22" s="16"/>
      <c r="G22" s="16"/>
      <c r="H22" s="7"/>
      <c r="I22" s="16"/>
      <c r="J22" s="16"/>
      <c r="K22" s="16"/>
      <c r="L22" s="7"/>
      <c r="M22" s="14">
        <f>M7-M6</f>
        <v>7.5221999999999998</v>
      </c>
      <c r="N22" s="14">
        <f>N7-N6</f>
        <v>-13.928100000000004</v>
      </c>
      <c r="O22" s="14">
        <f>O7-O6</f>
        <v>0.18660000000000032</v>
      </c>
      <c r="P22" s="2"/>
      <c r="Q22" s="14">
        <f>Q7-Q6</f>
        <v>7.5207999999999995</v>
      </c>
      <c r="R22" s="14">
        <f>R7-R6</f>
        <v>-13.926800000000004</v>
      </c>
      <c r="S22" s="14">
        <f>S7-S6</f>
        <v>0.18789999999999907</v>
      </c>
      <c r="T22" s="16"/>
      <c r="U22" s="16"/>
      <c r="V22" s="16"/>
      <c r="AG22" s="6">
        <f t="shared" ref="AG22" si="9">(M22-$Q22)*1000</f>
        <v>1.4000000000002899</v>
      </c>
      <c r="AH22" s="6">
        <f t="shared" ref="AH22" si="10">(N22-$R22)*1000</f>
        <v>-1.300000000000523</v>
      </c>
      <c r="AI22" s="6">
        <f t="shared" ref="AI22" si="11">(O22-$S22)*1000</f>
        <v>-1.2999999999987466</v>
      </c>
      <c r="AK22" s="6">
        <f>SQRT(I47+I51)</f>
        <v>1.232215639040293</v>
      </c>
      <c r="AL22" s="6">
        <f>SQRT(J48+J52)</f>
        <v>0.31024136442541117</v>
      </c>
      <c r="AM22" s="6">
        <f>SQRT(K49+K53)</f>
        <v>0.90877159274825803</v>
      </c>
    </row>
    <row r="23" spans="1:43" ht="15.75" thickBot="1">
      <c r="A23" s="36"/>
      <c r="B23" s="36"/>
      <c r="C23" s="36"/>
      <c r="D23" s="36"/>
      <c r="E23" s="36"/>
      <c r="F23" s="36"/>
      <c r="G23" s="36"/>
      <c r="H23" s="36"/>
      <c r="I23" s="36"/>
      <c r="J23" s="36"/>
      <c r="K23" s="36"/>
      <c r="L23" s="36"/>
      <c r="M23" s="36"/>
      <c r="N23" s="36"/>
      <c r="O23" s="36"/>
      <c r="P23" s="36"/>
      <c r="Q23" s="36"/>
      <c r="R23" s="36"/>
      <c r="S23" s="36"/>
      <c r="T23" s="36"/>
      <c r="U23" s="36"/>
      <c r="V23" s="36"/>
      <c r="W23" s="36"/>
      <c r="X23" s="36"/>
      <c r="Y23" s="36"/>
    </row>
    <row r="24" spans="1:43" ht="15.75" thickTop="1">
      <c r="B24" t="s">
        <v>40</v>
      </c>
      <c r="F24" t="s">
        <v>60</v>
      </c>
    </row>
    <row r="25" spans="1:43">
      <c r="E25" s="315" t="s">
        <v>10</v>
      </c>
      <c r="F25" s="315"/>
      <c r="G25" s="315"/>
      <c r="H25" s="2"/>
      <c r="I25" s="315" t="s">
        <v>10</v>
      </c>
      <c r="J25" s="315"/>
      <c r="K25" s="315"/>
    </row>
    <row r="26" spans="1:43">
      <c r="B26" s="2"/>
      <c r="C26" s="2"/>
      <c r="D26" s="40"/>
      <c r="E26" s="14" t="s">
        <v>22</v>
      </c>
      <c r="F26" s="14" t="s">
        <v>23</v>
      </c>
      <c r="G26" s="14" t="s">
        <v>24</v>
      </c>
      <c r="H26" s="2"/>
      <c r="I26" s="14" t="s">
        <v>5</v>
      </c>
      <c r="J26" s="14" t="s">
        <v>4</v>
      </c>
      <c r="K26" s="14" t="s">
        <v>6</v>
      </c>
      <c r="M26" t="s">
        <v>47</v>
      </c>
      <c r="Q26" t="s">
        <v>67</v>
      </c>
    </row>
    <row r="27" spans="1:43">
      <c r="B27" s="14" t="s">
        <v>32</v>
      </c>
      <c r="C27" s="14"/>
      <c r="D27" s="14"/>
      <c r="E27" s="14">
        <v>9.2520000000000007</v>
      </c>
      <c r="F27" s="14">
        <v>16.809899999999999</v>
      </c>
      <c r="G27" s="14">
        <v>9.9909999999999997</v>
      </c>
      <c r="H27" s="14"/>
      <c r="I27" s="14">
        <v>5.8445</v>
      </c>
      <c r="J27" s="14">
        <v>-18.790299999999998</v>
      </c>
      <c r="K27" s="14">
        <v>8.9867000000000008</v>
      </c>
      <c r="M27" s="2">
        <f t="array" ref="M27:O30">MMULT(E27:G30,I42:K44)</f>
        <v>5.8442750682947624</v>
      </c>
      <c r="N27" s="2">
        <v>-18.790091133715435</v>
      </c>
      <c r="O27" s="2">
        <v>8.9877315365650716</v>
      </c>
      <c r="Q27" s="14">
        <f>I27-M27</f>
        <v>2.2493170523762984E-4</v>
      </c>
      <c r="R27" s="14">
        <f t="shared" ref="R27:R30" si="12">J27-N27</f>
        <v>-2.0886628456295853E-4</v>
      </c>
      <c r="S27" s="14">
        <f t="shared" ref="S27:S30" si="13">K27-O27</f>
        <v>-1.031536565070823E-3</v>
      </c>
      <c r="T27" s="16"/>
      <c r="U27" s="16"/>
      <c r="V27" s="16"/>
    </row>
    <row r="28" spans="1:43">
      <c r="B28" s="2" t="s">
        <v>21</v>
      </c>
      <c r="C28" s="2"/>
      <c r="D28" s="2"/>
      <c r="E28" s="14">
        <v>21.520299999999999</v>
      </c>
      <c r="F28" s="14">
        <v>24.645700000000001</v>
      </c>
      <c r="G28" s="14">
        <v>16.2074</v>
      </c>
      <c r="H28" s="2"/>
      <c r="I28" s="14">
        <v>13.3653</v>
      </c>
      <c r="J28" s="14">
        <v>-32.7179</v>
      </c>
      <c r="K28" s="14">
        <v>9.1745999999999999</v>
      </c>
      <c r="M28" s="2">
        <v>13.365402052176448</v>
      </c>
      <c r="N28" s="2">
        <v>-32.717994763248086</v>
      </c>
      <c r="O28" s="2">
        <v>9.1741319888255362</v>
      </c>
      <c r="Q28" s="14">
        <f t="shared" ref="Q28:Q30" si="14">I28-M28</f>
        <v>-1.020521764480975E-4</v>
      </c>
      <c r="R28" s="14">
        <f t="shared" si="12"/>
        <v>9.4763248085882879E-5</v>
      </c>
      <c r="S28" s="14">
        <f t="shared" si="13"/>
        <v>4.6801117446371165E-4</v>
      </c>
      <c r="T28" s="16"/>
      <c r="U28" s="16"/>
      <c r="V28" s="16"/>
    </row>
    <row r="29" spans="1:43">
      <c r="B29" s="2" t="s">
        <v>62</v>
      </c>
      <c r="C29" s="2"/>
      <c r="D29" s="2"/>
      <c r="E29" s="14">
        <v>33.271299999999997</v>
      </c>
      <c r="F29" s="14">
        <v>19.188099999999999</v>
      </c>
      <c r="G29" s="14">
        <v>36.606999999999999</v>
      </c>
      <c r="H29" s="2"/>
      <c r="I29" s="14">
        <v>37.213200000000001</v>
      </c>
      <c r="J29" s="14">
        <v>-36.201300000000003</v>
      </c>
      <c r="K29" s="14">
        <v>10.948700000000001</v>
      </c>
      <c r="M29" s="2">
        <v>37.213087711195392</v>
      </c>
      <c r="N29" s="2">
        <v>-36.201195731260654</v>
      </c>
      <c r="O29" s="2">
        <v>10.949214956340748</v>
      </c>
      <c r="Q29" s="14">
        <f t="shared" si="14"/>
        <v>1.1228880460834034E-4</v>
      </c>
      <c r="R29" s="14">
        <f t="shared" si="12"/>
        <v>-1.0426873934932246E-4</v>
      </c>
      <c r="S29" s="14">
        <f t="shared" si="13"/>
        <v>-5.149563407478297E-4</v>
      </c>
      <c r="T29" s="16"/>
      <c r="U29" s="16"/>
      <c r="V29" s="16"/>
    </row>
    <row r="30" spans="1:43">
      <c r="B30" s="2" t="s">
        <v>37</v>
      </c>
      <c r="C30" s="2"/>
      <c r="D30" s="2"/>
      <c r="E30" s="14">
        <v>14.5212</v>
      </c>
      <c r="F30" s="14">
        <v>13.7178</v>
      </c>
      <c r="G30" s="14">
        <v>18.8644</v>
      </c>
      <c r="H30" s="2"/>
      <c r="I30" s="14">
        <v>16.5596</v>
      </c>
      <c r="J30" s="14">
        <v>-19.861499999999999</v>
      </c>
      <c r="K30" s="14">
        <v>9.2847000000000008</v>
      </c>
      <c r="M30" s="2">
        <v>16.559849350548955</v>
      </c>
      <c r="N30" s="2">
        <v>-19.861731541047941</v>
      </c>
      <c r="O30" s="2">
        <v>9.2835564786432183</v>
      </c>
      <c r="Q30" s="14">
        <f t="shared" si="14"/>
        <v>-2.4935054895536268E-4</v>
      </c>
      <c r="R30" s="14">
        <f t="shared" si="12"/>
        <v>2.3154104794187447E-4</v>
      </c>
      <c r="S30" s="14">
        <f t="shared" si="13"/>
        <v>1.1435213567825286E-3</v>
      </c>
      <c r="T30" s="16"/>
      <c r="U30" s="16"/>
      <c r="V30" s="16"/>
    </row>
    <row r="31" spans="1:43">
      <c r="E31" t="s">
        <v>41</v>
      </c>
    </row>
    <row r="32" spans="1:43">
      <c r="E32" t="s">
        <v>42</v>
      </c>
    </row>
    <row r="33" spans="2:20">
      <c r="E33" s="2">
        <f t="array" ref="E33:H35">TRANSPOSE(E27:G30)</f>
        <v>9.2520000000000007</v>
      </c>
      <c r="F33" s="2">
        <v>21.520299999999999</v>
      </c>
      <c r="G33" s="2">
        <v>33.271299999999997</v>
      </c>
      <c r="H33" s="2">
        <v>14.5212</v>
      </c>
      <c r="I33" s="7"/>
    </row>
    <row r="34" spans="2:20">
      <c r="E34" s="2">
        <v>16.809899999999999</v>
      </c>
      <c r="F34" s="2">
        <v>24.645700000000001</v>
      </c>
      <c r="G34" s="2">
        <v>19.188099999999999</v>
      </c>
      <c r="H34" s="2">
        <v>13.7178</v>
      </c>
      <c r="I34" s="7"/>
    </row>
    <row r="35" spans="2:20">
      <c r="E35" s="2">
        <v>9.9909999999999997</v>
      </c>
      <c r="F35" s="2">
        <v>16.2074</v>
      </c>
      <c r="G35" s="2">
        <v>36.606999999999999</v>
      </c>
      <c r="H35" s="2">
        <v>18.8644</v>
      </c>
      <c r="I35" s="7"/>
    </row>
    <row r="36" spans="2:20">
      <c r="E36" t="s">
        <v>43</v>
      </c>
      <c r="I36" t="s">
        <v>45</v>
      </c>
    </row>
    <row r="37" spans="2:20">
      <c r="E37" s="2">
        <f t="array" ref="E37:G39">MMULT(E33:H35,E27:G30)</f>
        <v>1866.5674692199998</v>
      </c>
      <c r="F37" s="2">
        <v>1523.5200014</v>
      </c>
      <c r="G37" s="2">
        <v>1933.1210465999998</v>
      </c>
      <c r="I37" s="2">
        <f t="array" ref="I37:K39">MMULT(E33:H35,I27:K30)</f>
        <v>1820.2953842699999</v>
      </c>
      <c r="J37" s="2">
        <v>-2370.8240054600001</v>
      </c>
      <c r="K37" s="2">
        <v>779.68756073000009</v>
      </c>
    </row>
    <row r="38" spans="2:20">
      <c r="E38" s="2">
        <v>1523.5200014</v>
      </c>
      <c r="F38" s="2">
        <v>1446.3444849499999</v>
      </c>
      <c r="G38" s="2">
        <v>1528.5872721000001</v>
      </c>
      <c r="I38" s="2">
        <v>1368.8545185600001</v>
      </c>
      <c r="J38" s="2">
        <v>-2089.3088612299998</v>
      </c>
      <c r="K38" s="2">
        <v>714.63037568000004</v>
      </c>
      <c r="R38" s="98"/>
    </row>
    <row r="39" spans="2:20">
      <c r="E39" s="2">
        <v>1933.1210465999998</v>
      </c>
      <c r="F39" s="2">
        <v>1528.5872721000001</v>
      </c>
      <c r="G39" s="2">
        <v>2058.4379321199999</v>
      </c>
      <c r="I39" s="2">
        <v>1949.6596933599999</v>
      </c>
      <c r="J39" s="2">
        <v>-2417.9022494599999</v>
      </c>
      <c r="K39" s="2">
        <v>814.43188731999999</v>
      </c>
      <c r="M39" t="s">
        <v>51</v>
      </c>
      <c r="S39" s="98"/>
    </row>
    <row r="40" spans="2:20">
      <c r="E40" t="s">
        <v>44</v>
      </c>
      <c r="I40" t="s">
        <v>49</v>
      </c>
      <c r="M40" t="s">
        <v>50</v>
      </c>
      <c r="T40" s="98"/>
    </row>
    <row r="41" spans="2:20" ht="15.75" thickBot="1">
      <c r="I41" t="s">
        <v>5</v>
      </c>
      <c r="J41" t="s">
        <v>4</v>
      </c>
      <c r="K41" t="s">
        <v>6</v>
      </c>
      <c r="M41" t="s">
        <v>109</v>
      </c>
      <c r="N41" t="s">
        <v>23</v>
      </c>
      <c r="O41" t="s">
        <v>24</v>
      </c>
      <c r="T41" s="98"/>
    </row>
    <row r="42" spans="2:20">
      <c r="E42" s="2">
        <f t="array" ref="E42:G44">MINVERSE(E37:G39)</f>
        <v>3.8086905412118073E-2</v>
      </c>
      <c r="F42" s="2">
        <v>-1.0768396726794595E-2</v>
      </c>
      <c r="G42" s="2">
        <v>-2.7771623998228367E-2</v>
      </c>
      <c r="I42" s="17">
        <f t="array" ref="I42:K44">MMULT(E42:G44,I37:K39)</f>
        <v>0.44383367719197508</v>
      </c>
      <c r="J42" s="18">
        <v>-0.64977080572818124</v>
      </c>
      <c r="K42" s="19">
        <v>-0.61763316863045858</v>
      </c>
      <c r="L42" t="s">
        <v>22</v>
      </c>
      <c r="M42" s="17">
        <f t="array" ref="M42:O44">TRANSPOSE(I42:K44)</f>
        <v>0.44383367719197508</v>
      </c>
      <c r="N42" s="18">
        <v>-0.37917792756955926</v>
      </c>
      <c r="O42" s="19">
        <v>0.81191761901372672</v>
      </c>
      <c r="P42" t="s">
        <v>5</v>
      </c>
    </row>
    <row r="43" spans="2:20">
      <c r="E43" s="2">
        <v>-1.0768396726794577E-2</v>
      </c>
      <c r="F43" s="2">
        <v>6.2577129063012523E-3</v>
      </c>
      <c r="G43" s="2">
        <v>5.4658699561028323E-3</v>
      </c>
      <c r="I43" s="20">
        <v>-0.37917792756955926</v>
      </c>
      <c r="J43" s="2">
        <v>-0.76026082808393625</v>
      </c>
      <c r="K43" s="21">
        <v>0.5275455324347833</v>
      </c>
      <c r="L43" t="s">
        <v>23</v>
      </c>
      <c r="M43" s="20">
        <v>-0.64977080572818124</v>
      </c>
      <c r="N43" s="2">
        <v>-0.76026082808393625</v>
      </c>
      <c r="O43" s="21">
        <v>1.4982032728028116E-4</v>
      </c>
      <c r="P43" t="s">
        <v>4</v>
      </c>
    </row>
    <row r="44" spans="2:20" ht="15.75" thickBot="1">
      <c r="E44" s="2">
        <v>-2.7771623998228381E-2</v>
      </c>
      <c r="F44" s="2">
        <v>5.4658699561028496E-3</v>
      </c>
      <c r="G44" s="2">
        <v>2.2507771976232407E-2</v>
      </c>
      <c r="I44" s="22">
        <v>0.81191761901372672</v>
      </c>
      <c r="J44" s="23">
        <v>1.4982032728028116E-4</v>
      </c>
      <c r="K44" s="24">
        <v>0.58393413742954792</v>
      </c>
      <c r="L44" t="s">
        <v>24</v>
      </c>
      <c r="M44" s="22">
        <v>-0.61763316863045858</v>
      </c>
      <c r="N44" s="23">
        <v>0.5275455324347833</v>
      </c>
      <c r="O44" s="24">
        <v>0.58393413742954792</v>
      </c>
      <c r="P44" t="s">
        <v>6</v>
      </c>
    </row>
    <row r="45" spans="2:20">
      <c r="I45" t="s">
        <v>53</v>
      </c>
      <c r="M45" t="s">
        <v>54</v>
      </c>
      <c r="O45" t="s">
        <v>58</v>
      </c>
    </row>
    <row r="46" spans="2:20">
      <c r="I46" t="s">
        <v>5</v>
      </c>
      <c r="J46" t="s">
        <v>4</v>
      </c>
      <c r="K46" t="s">
        <v>6</v>
      </c>
    </row>
    <row r="47" spans="2:20">
      <c r="B47" t="s">
        <v>52</v>
      </c>
      <c r="E47">
        <f t="array" ref="E47:E49">E14^2*M42:M44</f>
        <v>4.4383367719197514E-3</v>
      </c>
      <c r="F47">
        <f t="array" ref="F47:F49">F14^2*N42:N44</f>
        <v>-1.5167117102782374E-2</v>
      </c>
      <c r="G47">
        <f t="array" ref="G47:G49">G14^2*O42:O44</f>
        <v>8.1191761901372693E-3</v>
      </c>
      <c r="I47" s="2">
        <f t="array" ref="I47:K49">MMULT(E47:G49,$I$42:$K$44)</f>
        <v>1.4313021560984535E-2</v>
      </c>
      <c r="J47" s="2">
        <v>8.6482797654580997E-3</v>
      </c>
      <c r="K47" s="2">
        <v>-6.0015447261515817E-3</v>
      </c>
      <c r="M47" s="6">
        <f>SQRT(I47)</f>
        <v>0.11963704092372285</v>
      </c>
      <c r="O47" s="37">
        <f>I47/M47^2</f>
        <v>1</v>
      </c>
      <c r="P47" s="37">
        <f>J47/M47/M48</f>
        <v>0.43716950800234761</v>
      </c>
      <c r="Q47" s="37">
        <f>K47/M47/M49</f>
        <v>-0.37025457908260517</v>
      </c>
    </row>
    <row r="48" spans="2:20">
      <c r="E48">
        <v>-6.4977080572818134E-3</v>
      </c>
      <c r="F48">
        <v>-3.0410433123357457E-2</v>
      </c>
      <c r="G48">
        <v>1.4982032728028118E-6</v>
      </c>
      <c r="I48" s="2">
        <v>8.6482797654580997E-3</v>
      </c>
      <c r="J48" s="2">
        <v>2.7341882292982705E-2</v>
      </c>
      <c r="K48" s="2">
        <v>-1.2028813265343555E-2</v>
      </c>
      <c r="M48" s="6">
        <f>SQRT(J48)</f>
        <v>0.16535380942990913</v>
      </c>
      <c r="O48" s="37">
        <f>I48/M47/M48</f>
        <v>0.43716950800234761</v>
      </c>
      <c r="P48" s="37">
        <f>J48/M48^2</f>
        <v>1</v>
      </c>
      <c r="Q48" s="37">
        <f>K48/M48/M49</f>
        <v>-0.53692253548714985</v>
      </c>
    </row>
    <row r="49" spans="2:17">
      <c r="E49">
        <v>-6.1763316863045871E-3</v>
      </c>
      <c r="F49">
        <v>2.1101821297391337E-2</v>
      </c>
      <c r="G49">
        <v>5.8393413742954805E-3</v>
      </c>
      <c r="I49" s="2">
        <v>-6.0015447261515817E-3</v>
      </c>
      <c r="J49" s="2">
        <v>-1.2028813265343555E-2</v>
      </c>
      <c r="K49" s="2">
        <v>1.835666963015687E-2</v>
      </c>
      <c r="M49" s="6">
        <f>SQRT(K49)</f>
        <v>0.13548678765900707</v>
      </c>
      <c r="O49" s="37">
        <f>I49/M47/M49</f>
        <v>-0.37025457908260517</v>
      </c>
      <c r="P49" s="37">
        <f>J49/M49/M48</f>
        <v>-0.53692253548714985</v>
      </c>
      <c r="Q49" s="37">
        <f>K49/M49^2</f>
        <v>1</v>
      </c>
    </row>
    <row r="50" spans="2:17">
      <c r="I50" t="s">
        <v>53</v>
      </c>
      <c r="M50" t="s">
        <v>54</v>
      </c>
      <c r="O50" t="s">
        <v>58</v>
      </c>
    </row>
    <row r="51" spans="2:17">
      <c r="B51" t="s">
        <v>55</v>
      </c>
      <c r="E51">
        <f t="array" ref="E51:E53">E13^2*M42:M44</f>
        <v>1.7753347087679006E-2</v>
      </c>
      <c r="F51">
        <f t="array" ref="F51:F53">F13^2*N42:N44</f>
        <v>-3.4126013481260334E-2</v>
      </c>
      <c r="G51">
        <f t="array" ref="G51:G53">G13^2*O42:O44</f>
        <v>1.8268146427808851</v>
      </c>
      <c r="I51" s="2">
        <f t="array" ref="I51:K53">MMULT(E51:G53,$I$42:$K$44)</f>
        <v>1.5040423595344932</v>
      </c>
      <c r="J51" s="2">
        <v>1.4682758594595148E-2</v>
      </c>
      <c r="K51" s="2">
        <v>1.0377713507085162</v>
      </c>
      <c r="M51" s="6">
        <f>SQRT(I51)</f>
        <v>1.2263940474148156</v>
      </c>
      <c r="O51" s="37">
        <f>I51/M51^2</f>
        <v>1.0000000000000002</v>
      </c>
      <c r="P51" s="37">
        <f>J51/M51/M52</f>
        <v>4.5608245237495515E-2</v>
      </c>
      <c r="Q51" s="37">
        <f>K51/M51/M53</f>
        <v>0.94166823422636914</v>
      </c>
    </row>
    <row r="52" spans="2:17">
      <c r="E52">
        <v>-2.5990832229127254E-2</v>
      </c>
      <c r="F52">
        <v>-6.8423474527554262E-2</v>
      </c>
      <c r="G52">
        <v>3.3709573638063262E-4</v>
      </c>
      <c r="I52" s="2">
        <v>1.4682758594595148E-2</v>
      </c>
      <c r="J52" s="2">
        <v>6.8907821907558064E-2</v>
      </c>
      <c r="K52" s="2">
        <v>-1.9846856527603332E-2</v>
      </c>
      <c r="M52" s="6">
        <f>SQRT(J52)</f>
        <v>0.26250299409255901</v>
      </c>
      <c r="O52" s="37">
        <f>I52/M51/M52</f>
        <v>4.5608245237495515E-2</v>
      </c>
      <c r="P52" s="37">
        <f>J52/M52^2</f>
        <v>1</v>
      </c>
      <c r="Q52" s="37">
        <f>K52/M52/M53</f>
        <v>-8.413636520719521E-2</v>
      </c>
    </row>
    <row r="53" spans="2:17">
      <c r="E53">
        <v>-2.4705326745218349E-2</v>
      </c>
      <c r="F53">
        <v>4.7479097919130499E-2</v>
      </c>
      <c r="G53">
        <v>1.3138518092164828</v>
      </c>
      <c r="I53" s="2">
        <v>1.0377713507085162</v>
      </c>
      <c r="J53" s="2">
        <v>-1.9846856527603332E-2</v>
      </c>
      <c r="K53" s="2">
        <v>0.80750913815604874</v>
      </c>
      <c r="M53" s="6">
        <f>SQRT(K53)</f>
        <v>0.89861512237222496</v>
      </c>
      <c r="O53" s="37">
        <f>I53/M51/M53</f>
        <v>0.94166823422636914</v>
      </c>
      <c r="P53" s="37">
        <f>J53/M53/M52</f>
        <v>-8.413636520719521E-2</v>
      </c>
      <c r="Q53" s="37">
        <f>K53/M53^2</f>
        <v>0.99999999999999989</v>
      </c>
    </row>
    <row r="54" spans="2:17">
      <c r="I54" t="s">
        <v>53</v>
      </c>
      <c r="M54" t="s">
        <v>54</v>
      </c>
      <c r="O54" t="s">
        <v>58</v>
      </c>
    </row>
    <row r="55" spans="2:17">
      <c r="B55" t="s">
        <v>56</v>
      </c>
      <c r="E55">
        <f t="array" ref="E55:E57">E15^2*M42:M44</f>
        <v>7.1013388350716022E-2</v>
      </c>
      <c r="F55">
        <f t="array" ref="F55:F57">F15^2*N42:N44</f>
        <v>-6.0668468411129495E-2</v>
      </c>
      <c r="G55">
        <f t="array" ref="G55:G57">G15^2*O42:O44</f>
        <v>7.3072585711235399E-2</v>
      </c>
      <c r="I55" s="2">
        <f t="array" ref="I55:K57">MMULT(E55:G57,$I$42:$K$44)</f>
        <v>0.11385119720835413</v>
      </c>
      <c r="J55" s="2">
        <v>-7.6187745970780506E-6</v>
      </c>
      <c r="K55" s="2">
        <v>-3.3196026225153219E-2</v>
      </c>
      <c r="M55" s="6">
        <f>SQRT(I55)</f>
        <v>0.33741843045150055</v>
      </c>
      <c r="O55" s="37">
        <f>I55/M55^2</f>
        <v>1.0000000000000002</v>
      </c>
      <c r="P55" s="37">
        <f>J55/M55/M56</f>
        <v>-5.6443404747403712E-5</v>
      </c>
      <c r="Q55" s="37">
        <f>K55/M55/M57</f>
        <v>-0.26652973272676972</v>
      </c>
    </row>
    <row r="56" spans="2:17">
      <c r="E56">
        <v>-0.10396332891650902</v>
      </c>
      <c r="F56">
        <v>-0.12164173249342983</v>
      </c>
      <c r="G56">
        <v>1.3483829455225303E-5</v>
      </c>
      <c r="I56" s="2">
        <v>-7.6187745970780506E-6</v>
      </c>
      <c r="J56" s="2">
        <v>0.16003178229143536</v>
      </c>
      <c r="K56" s="2">
        <v>4.7521393860303578E-5</v>
      </c>
      <c r="M56" s="6">
        <f>SQRT(J56)</f>
        <v>0.40003972589161113</v>
      </c>
      <c r="O56" s="37">
        <f>I56/M55/M56</f>
        <v>-5.6443404747403712E-5</v>
      </c>
      <c r="P56" s="37">
        <f>J56/M56^2</f>
        <v>1</v>
      </c>
      <c r="Q56" s="37">
        <f>K56/M56/M57</f>
        <v>3.2182102609491873E-4</v>
      </c>
    </row>
    <row r="57" spans="2:17">
      <c r="E57">
        <v>-9.8821306980873394E-2</v>
      </c>
      <c r="F57">
        <v>8.4407285189565348E-2</v>
      </c>
      <c r="G57">
        <v>5.2554072368659312E-2</v>
      </c>
      <c r="I57" s="2">
        <v>-3.3196026225153233E-2</v>
      </c>
      <c r="J57" s="2">
        <v>4.7521393860303578E-5</v>
      </c>
      <c r="K57" s="2">
        <v>0.13625212008250706</v>
      </c>
      <c r="M57" s="6">
        <f>SQRT(K57)</f>
        <v>0.36912344829678195</v>
      </c>
      <c r="O57" s="37">
        <f>I57/M55/M57</f>
        <v>-0.26652973272676983</v>
      </c>
      <c r="P57" s="37">
        <f>J57/M57/M56</f>
        <v>3.2182102609491873E-4</v>
      </c>
      <c r="Q57" s="37">
        <f>K57/M57^2</f>
        <v>1</v>
      </c>
    </row>
    <row r="58" spans="2:17">
      <c r="I58" t="s">
        <v>53</v>
      </c>
      <c r="M58" t="s">
        <v>54</v>
      </c>
      <c r="O58" t="s">
        <v>58</v>
      </c>
    </row>
    <row r="59" spans="2:17">
      <c r="B59" t="s">
        <v>37</v>
      </c>
      <c r="E59">
        <f t="array" ref="E59:E61">E16^2*M42:M44</f>
        <v>4.4383367719197514E-3</v>
      </c>
      <c r="F59">
        <f t="array" ref="F59:F61">F16^2*N42:N44</f>
        <v>-1.5167117102782374E-2</v>
      </c>
      <c r="G59">
        <f t="array" ref="G59:G61">G16^2*O42:O44</f>
        <v>8.1191761901372693E-3</v>
      </c>
      <c r="I59" s="2">
        <f t="array" ref="I59:K61">MMULT(E59:G61,$I$42:$K$44)</f>
        <v>1.4313021560984535E-2</v>
      </c>
      <c r="J59" s="2">
        <v>8.6482797654580997E-3</v>
      </c>
      <c r="K59" s="2">
        <v>-6.0015447261515817E-3</v>
      </c>
      <c r="M59" s="6">
        <f>SQRT(I59)</f>
        <v>0.11963704092372285</v>
      </c>
      <c r="O59" s="37">
        <f>I59/M59^2</f>
        <v>1</v>
      </c>
      <c r="P59" s="37">
        <f>J59/M59/M60</f>
        <v>0.43716950800234761</v>
      </c>
      <c r="Q59" s="37">
        <f>K59/M59/M61</f>
        <v>-0.37025457908260517</v>
      </c>
    </row>
    <row r="60" spans="2:17">
      <c r="E60">
        <v>-6.4977080572818134E-3</v>
      </c>
      <c r="F60">
        <v>-3.0410433123357457E-2</v>
      </c>
      <c r="G60">
        <v>1.4982032728028118E-6</v>
      </c>
      <c r="I60" s="2">
        <v>8.6482797654580997E-3</v>
      </c>
      <c r="J60" s="2">
        <v>2.7341882292982705E-2</v>
      </c>
      <c r="K60" s="2">
        <v>-1.2028813265343555E-2</v>
      </c>
      <c r="M60" s="6">
        <f>SQRT(J60)</f>
        <v>0.16535380942990913</v>
      </c>
      <c r="O60" s="37">
        <f>I60/M59/M60</f>
        <v>0.43716950800234761</v>
      </c>
      <c r="P60" s="37">
        <f>J60/M60^2</f>
        <v>1</v>
      </c>
      <c r="Q60" s="37">
        <f>K60/M60/M61</f>
        <v>-0.53692253548714985</v>
      </c>
    </row>
    <row r="61" spans="2:17">
      <c r="E61">
        <v>-6.1763316863045871E-3</v>
      </c>
      <c r="F61">
        <v>2.1101821297391337E-2</v>
      </c>
      <c r="G61">
        <v>5.8393413742954805E-3</v>
      </c>
      <c r="I61" s="2">
        <v>-6.0015447261515817E-3</v>
      </c>
      <c r="J61" s="2">
        <v>-1.2028813265343555E-2</v>
      </c>
      <c r="K61" s="2">
        <v>1.835666963015687E-2</v>
      </c>
      <c r="M61" s="6">
        <f>SQRT(K61)</f>
        <v>0.13548678765900707</v>
      </c>
      <c r="O61" s="37">
        <f>I61/M59/M61</f>
        <v>-0.37025457908260517</v>
      </c>
      <c r="P61" s="37">
        <f>J61/M61/M60</f>
        <v>-0.53692253548714985</v>
      </c>
      <c r="Q61" s="37">
        <f>K61/M61^2</f>
        <v>1</v>
      </c>
    </row>
  </sheetData>
  <mergeCells count="25">
    <mergeCell ref="Y18:AA18"/>
    <mergeCell ref="E3:G3"/>
    <mergeCell ref="I3:K3"/>
    <mergeCell ref="M3:O3"/>
    <mergeCell ref="Q3:S3"/>
    <mergeCell ref="E4:G4"/>
    <mergeCell ref="I4:K4"/>
    <mergeCell ref="M4:O4"/>
    <mergeCell ref="Q4:S4"/>
    <mergeCell ref="AO18:AQ18"/>
    <mergeCell ref="AC18:AE18"/>
    <mergeCell ref="AG18:AI18"/>
    <mergeCell ref="U4:W4"/>
    <mergeCell ref="E25:G25"/>
    <mergeCell ref="I25:K25"/>
    <mergeCell ref="U18:W18"/>
    <mergeCell ref="Y4:AA4"/>
    <mergeCell ref="AC4:AE4"/>
    <mergeCell ref="AG4:AI4"/>
    <mergeCell ref="E11:G11"/>
    <mergeCell ref="I11:K11"/>
    <mergeCell ref="E18:G18"/>
    <mergeCell ref="I18:K18"/>
    <mergeCell ref="M18:O18"/>
    <mergeCell ref="Q18:S18"/>
  </mergeCells>
  <pageMargins left="0.7" right="0.7" top="0.75" bottom="0.75" header="0.3" footer="0.3"/>
  <pageSetup paperSize="9" orientation="portrait" horizontalDpi="4294967294"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85584-F591-4CDB-A6EF-CE9A3DA087D6}">
  <dimension ref="B2:S76"/>
  <sheetViews>
    <sheetView topLeftCell="A13" workbookViewId="0">
      <selection activeCell="B16" sqref="B16"/>
    </sheetView>
  </sheetViews>
  <sheetFormatPr defaultRowHeight="15"/>
  <cols>
    <col min="1" max="1" width="4.140625" customWidth="1"/>
    <col min="2" max="2" width="13.7109375" customWidth="1"/>
    <col min="4" max="4" width="9.140625" customWidth="1"/>
    <col min="6" max="6" width="3" customWidth="1"/>
    <col min="10" max="10" width="2.5703125" customWidth="1"/>
    <col min="11" max="11" width="10.5703125" customWidth="1"/>
    <col min="12" max="12" width="10" customWidth="1"/>
    <col min="14" max="14" width="3.7109375" customWidth="1"/>
    <col min="15" max="16" width="9.7109375" customWidth="1"/>
  </cols>
  <sheetData>
    <row r="2" spans="2:19" ht="21">
      <c r="C2" s="339" t="s">
        <v>101</v>
      </c>
      <c r="D2" s="339"/>
      <c r="E2" s="339"/>
      <c r="F2" s="339"/>
      <c r="G2" s="339"/>
      <c r="H2" s="339"/>
      <c r="I2" s="339"/>
      <c r="J2" s="339"/>
      <c r="K2" s="339"/>
      <c r="L2" s="339"/>
    </row>
    <row r="3" spans="2:19">
      <c r="L3" t="s">
        <v>92</v>
      </c>
    </row>
    <row r="4" spans="2:19" ht="18.75">
      <c r="B4" s="73" t="s">
        <v>90</v>
      </c>
    </row>
    <row r="5" spans="2:19" ht="29.25" customHeight="1">
      <c r="B5" s="345" t="s">
        <v>106</v>
      </c>
      <c r="C5" s="345"/>
      <c r="D5" s="345"/>
      <c r="E5" s="345"/>
      <c r="F5" s="345"/>
      <c r="G5" s="345"/>
      <c r="H5" s="345"/>
      <c r="I5" s="345"/>
      <c r="J5" s="345"/>
      <c r="K5" s="345"/>
      <c r="L5" s="345"/>
      <c r="M5" s="345"/>
      <c r="N5" s="345"/>
      <c r="O5" s="345"/>
      <c r="P5" s="345"/>
      <c r="Q5" s="345"/>
    </row>
    <row r="6" spans="2:19" ht="8.25" customHeight="1">
      <c r="B6" s="73"/>
    </row>
    <row r="7" spans="2:19" ht="19.5" thickBot="1">
      <c r="B7" s="73" t="s">
        <v>93</v>
      </c>
    </row>
    <row r="8" spans="2:19">
      <c r="B8" s="58" t="s">
        <v>32</v>
      </c>
      <c r="C8" s="32"/>
      <c r="D8" s="32"/>
      <c r="E8" s="327" t="s">
        <v>288</v>
      </c>
      <c r="F8" s="327"/>
      <c r="G8" s="327"/>
      <c r="H8" s="327"/>
      <c r="I8" s="327"/>
      <c r="J8" s="327"/>
      <c r="K8" s="327"/>
      <c r="L8" s="327"/>
      <c r="M8" s="327"/>
      <c r="N8" s="328"/>
    </row>
    <row r="9" spans="2:19">
      <c r="B9" s="368" t="s">
        <v>139</v>
      </c>
      <c r="C9" s="7"/>
      <c r="D9" s="7"/>
      <c r="E9" s="204" t="s">
        <v>287</v>
      </c>
      <c r="F9" s="204"/>
      <c r="G9" s="204"/>
      <c r="H9" s="204"/>
      <c r="I9" s="204"/>
      <c r="J9" s="204"/>
      <c r="K9" s="204"/>
      <c r="L9" s="204"/>
      <c r="M9" s="204"/>
      <c r="N9" s="205"/>
    </row>
    <row r="10" spans="2:19" ht="14.25" customHeight="1">
      <c r="B10" s="33" t="s">
        <v>21</v>
      </c>
      <c r="C10" s="7"/>
      <c r="D10" s="7"/>
      <c r="E10" s="329" t="s">
        <v>80</v>
      </c>
      <c r="F10" s="329"/>
      <c r="G10" s="329"/>
      <c r="H10" s="329"/>
      <c r="I10" s="329"/>
      <c r="J10" s="329"/>
      <c r="K10" s="329"/>
      <c r="L10" s="329"/>
      <c r="M10" s="329"/>
      <c r="N10" s="330"/>
    </row>
    <row r="11" spans="2:19">
      <c r="B11" s="33" t="s">
        <v>62</v>
      </c>
      <c r="C11" s="7"/>
      <c r="D11" s="7"/>
      <c r="E11" s="331" t="s">
        <v>94</v>
      </c>
      <c r="F11" s="331"/>
      <c r="G11" s="331"/>
      <c r="H11" s="331"/>
      <c r="I11" s="331"/>
      <c r="J11" s="331"/>
      <c r="K11" s="331"/>
      <c r="L11" s="331"/>
      <c r="M11" s="331"/>
      <c r="N11" s="332"/>
    </row>
    <row r="12" spans="2:19" ht="15.75" thickBot="1">
      <c r="B12" s="34" t="s">
        <v>37</v>
      </c>
      <c r="C12" s="35"/>
      <c r="D12" s="35"/>
      <c r="E12" s="333" t="s">
        <v>82</v>
      </c>
      <c r="F12" s="334"/>
      <c r="G12" s="334"/>
      <c r="H12" s="334"/>
      <c r="I12" s="334"/>
      <c r="J12" s="334"/>
      <c r="K12" s="334"/>
      <c r="L12" s="334"/>
      <c r="M12" s="334"/>
      <c r="N12" s="335"/>
    </row>
    <row r="13" spans="2:19" ht="9.75" customHeight="1"/>
    <row r="14" spans="2:19" ht="18.75">
      <c r="B14" s="73" t="s">
        <v>98</v>
      </c>
    </row>
    <row r="15" spans="2:19" ht="15.75" thickBot="1">
      <c r="B15" s="334" t="s">
        <v>289</v>
      </c>
      <c r="C15" s="334"/>
      <c r="D15" s="334"/>
      <c r="E15" s="334"/>
      <c r="F15" s="334"/>
      <c r="G15" s="334"/>
      <c r="H15" s="334"/>
      <c r="I15" s="334"/>
      <c r="J15" s="334"/>
      <c r="K15" s="334"/>
      <c r="L15" s="334"/>
      <c r="M15" s="334"/>
      <c r="N15" s="331"/>
      <c r="O15" s="331"/>
      <c r="P15" s="331"/>
      <c r="Q15" s="321"/>
      <c r="R15" s="321"/>
      <c r="S15" s="321"/>
    </row>
    <row r="16" spans="2:19" ht="15.75" thickBot="1">
      <c r="B16" s="70"/>
      <c r="C16" s="364" t="s">
        <v>13</v>
      </c>
      <c r="D16" s="365"/>
      <c r="E16" s="366"/>
      <c r="F16" s="68"/>
      <c r="G16" s="361" t="s">
        <v>12</v>
      </c>
      <c r="H16" s="362"/>
      <c r="I16" s="367"/>
      <c r="J16" s="68"/>
      <c r="K16" s="361" t="s">
        <v>11</v>
      </c>
      <c r="L16" s="362"/>
      <c r="M16" s="363"/>
      <c r="N16" s="7"/>
      <c r="O16" s="313"/>
      <c r="P16" s="313"/>
      <c r="Q16" s="313"/>
    </row>
    <row r="17" spans="2:17" ht="15.75" thickTop="1">
      <c r="B17" s="69" t="s">
        <v>96</v>
      </c>
      <c r="C17" s="50" t="s">
        <v>4</v>
      </c>
      <c r="D17" s="50" t="s">
        <v>5</v>
      </c>
      <c r="E17" s="50" t="s">
        <v>6</v>
      </c>
      <c r="F17" s="56"/>
      <c r="G17" s="50" t="s">
        <v>4</v>
      </c>
      <c r="H17" s="50" t="s">
        <v>5</v>
      </c>
      <c r="I17" s="50" t="s">
        <v>6</v>
      </c>
      <c r="J17" s="56"/>
      <c r="K17" s="50" t="s">
        <v>4</v>
      </c>
      <c r="L17" s="50" t="s">
        <v>5</v>
      </c>
      <c r="M17" s="51" t="s">
        <v>6</v>
      </c>
      <c r="N17" s="7"/>
      <c r="O17" s="16"/>
      <c r="P17" s="16"/>
      <c r="Q17" s="16"/>
    </row>
    <row r="18" spans="2:17">
      <c r="B18" s="27" t="s">
        <v>32</v>
      </c>
      <c r="C18" s="14">
        <v>5.8456999999999999</v>
      </c>
      <c r="D18" s="14">
        <v>-18.793099999999999</v>
      </c>
      <c r="E18" s="14">
        <v>8.9722000000000008</v>
      </c>
      <c r="F18" s="14"/>
      <c r="G18" s="14">
        <v>5.8441000000000001</v>
      </c>
      <c r="H18" s="14">
        <v>-18.790700000000001</v>
      </c>
      <c r="I18" s="14">
        <v>8.9849999999999994</v>
      </c>
      <c r="J18" s="14"/>
      <c r="K18" s="14">
        <v>5.8460999999999999</v>
      </c>
      <c r="L18" s="14">
        <v>-18.788799999999998</v>
      </c>
      <c r="M18" s="28">
        <v>8.9885999999999999</v>
      </c>
      <c r="N18" s="16"/>
      <c r="O18" s="16"/>
      <c r="P18" s="16"/>
      <c r="Q18" s="16"/>
    </row>
    <row r="19" spans="2:17">
      <c r="B19" s="20" t="s">
        <v>21</v>
      </c>
      <c r="C19" s="14"/>
      <c r="D19" s="14"/>
      <c r="E19" s="14"/>
      <c r="F19" s="2"/>
      <c r="G19" s="14"/>
      <c r="H19" s="14"/>
      <c r="I19" s="14"/>
      <c r="J19" s="2"/>
      <c r="K19" s="14">
        <v>13.3683</v>
      </c>
      <c r="L19" s="14">
        <v>-32.716900000000003</v>
      </c>
      <c r="M19" s="28">
        <v>9.1752000000000002</v>
      </c>
      <c r="N19" s="7"/>
      <c r="O19" s="16"/>
      <c r="P19" s="16"/>
      <c r="Q19" s="16"/>
    </row>
    <row r="20" spans="2:17">
      <c r="B20" s="20" t="s">
        <v>62</v>
      </c>
      <c r="C20" s="14">
        <v>37.2166</v>
      </c>
      <c r="D20" s="14">
        <v>-36.201799999999999</v>
      </c>
      <c r="E20" s="14">
        <v>10.9495</v>
      </c>
      <c r="F20" s="2"/>
      <c r="G20" s="14">
        <v>37.215800000000002</v>
      </c>
      <c r="H20" s="14">
        <v>-36.201099999999997</v>
      </c>
      <c r="I20" s="14">
        <v>10.947699999999999</v>
      </c>
      <c r="J20" s="2"/>
      <c r="K20" s="14">
        <v>37.2164</v>
      </c>
      <c r="L20" s="14">
        <v>-36.201999999999998</v>
      </c>
      <c r="M20" s="28">
        <v>10.950200000000001</v>
      </c>
      <c r="N20" s="7"/>
      <c r="O20" s="16"/>
      <c r="P20" s="16"/>
      <c r="Q20" s="16"/>
    </row>
    <row r="21" spans="2:17" ht="15.75" thickBot="1">
      <c r="B21" s="22" t="s">
        <v>37</v>
      </c>
      <c r="C21" s="29"/>
      <c r="D21" s="29"/>
      <c r="E21" s="29"/>
      <c r="F21" s="23"/>
      <c r="G21" s="29"/>
      <c r="H21" s="29"/>
      <c r="I21" s="29"/>
      <c r="J21" s="23"/>
      <c r="K21" s="29">
        <v>16.5625</v>
      </c>
      <c r="L21" s="29">
        <v>-19.862200000000001</v>
      </c>
      <c r="M21" s="30">
        <v>9.2847000000000008</v>
      </c>
      <c r="N21" s="7"/>
      <c r="O21" s="16"/>
      <c r="P21" s="16"/>
      <c r="Q21" s="16"/>
    </row>
    <row r="22" spans="2:17" ht="12" customHeight="1" thickBot="1"/>
    <row r="23" spans="2:17" ht="15.75" thickBot="1">
      <c r="B23" s="99"/>
      <c r="C23" s="336" t="s">
        <v>10</v>
      </c>
      <c r="D23" s="336"/>
      <c r="E23" s="336"/>
      <c r="F23" s="68"/>
      <c r="G23" s="336" t="s">
        <v>9</v>
      </c>
      <c r="H23" s="336"/>
      <c r="I23" s="337"/>
      <c r="J23" s="7"/>
      <c r="K23" s="313"/>
      <c r="L23" s="313"/>
      <c r="M23" s="313"/>
      <c r="N23" s="7"/>
      <c r="O23" s="313"/>
      <c r="P23" s="313"/>
      <c r="Q23" s="313"/>
    </row>
    <row r="24" spans="2:17" ht="15.75" thickTop="1">
      <c r="B24" s="69" t="s">
        <v>96</v>
      </c>
      <c r="C24" s="50" t="s">
        <v>4</v>
      </c>
      <c r="D24" s="50" t="s">
        <v>5</v>
      </c>
      <c r="E24" s="50" t="s">
        <v>6</v>
      </c>
      <c r="F24" s="56"/>
      <c r="G24" s="50" t="s">
        <v>4</v>
      </c>
      <c r="H24" s="50" t="s">
        <v>5</v>
      </c>
      <c r="I24" s="51" t="s">
        <v>6</v>
      </c>
      <c r="J24" s="7"/>
      <c r="K24" s="16"/>
      <c r="L24" s="16"/>
      <c r="M24" s="16"/>
      <c r="N24" s="7"/>
      <c r="O24" s="16"/>
      <c r="P24" s="16"/>
      <c r="Q24" s="16"/>
    </row>
    <row r="25" spans="2:17">
      <c r="B25" s="27" t="s">
        <v>32</v>
      </c>
      <c r="C25" s="14">
        <v>5.8445</v>
      </c>
      <c r="D25" s="14">
        <v>-18.790299999999998</v>
      </c>
      <c r="E25" s="14">
        <v>8.9867000000000008</v>
      </c>
      <c r="F25" s="14"/>
      <c r="G25" s="14">
        <v>5.8445</v>
      </c>
      <c r="H25" s="14">
        <v>-18.790199999999999</v>
      </c>
      <c r="I25" s="28">
        <v>8.9860000000000007</v>
      </c>
      <c r="J25" s="16"/>
      <c r="K25" s="16"/>
      <c r="L25" s="16"/>
      <c r="M25" s="16"/>
      <c r="N25" s="16"/>
      <c r="O25" s="16"/>
      <c r="P25" s="16"/>
      <c r="Q25" s="16"/>
    </row>
    <row r="26" spans="2:17">
      <c r="B26" s="20" t="s">
        <v>21</v>
      </c>
      <c r="C26" s="14">
        <v>13.3653</v>
      </c>
      <c r="D26" s="14">
        <v>-32.717100000000002</v>
      </c>
      <c r="E26" s="14">
        <v>9.1745999999999999</v>
      </c>
      <c r="F26" s="2"/>
      <c r="G26" s="14"/>
      <c r="H26" s="14"/>
      <c r="I26" s="28"/>
      <c r="J26" s="7"/>
      <c r="K26" s="16"/>
      <c r="L26" s="16"/>
      <c r="M26" s="16"/>
      <c r="N26" s="7"/>
      <c r="O26" s="16"/>
      <c r="P26" s="16"/>
      <c r="Q26" s="16"/>
    </row>
    <row r="27" spans="2:17">
      <c r="B27" s="20" t="s">
        <v>62</v>
      </c>
      <c r="C27" s="14">
        <v>37.213200000000001</v>
      </c>
      <c r="D27" s="14">
        <v>-36.201300000000003</v>
      </c>
      <c r="E27" s="14">
        <v>10.948700000000001</v>
      </c>
      <c r="F27" s="2"/>
      <c r="G27" s="14">
        <v>37.216099999999997</v>
      </c>
      <c r="H27" s="14">
        <v>-36.200299999999999</v>
      </c>
      <c r="I27" s="28">
        <v>10.952199999999999</v>
      </c>
      <c r="J27" s="7"/>
      <c r="K27" s="16"/>
      <c r="L27" s="16"/>
      <c r="M27" s="16"/>
      <c r="N27" s="7"/>
      <c r="O27" s="16"/>
      <c r="P27" s="16"/>
      <c r="Q27" s="16"/>
    </row>
    <row r="28" spans="2:17" ht="15.75" thickBot="1">
      <c r="B28" s="22" t="s">
        <v>37</v>
      </c>
      <c r="C28" s="29">
        <v>16.5596</v>
      </c>
      <c r="D28" s="29">
        <v>-19.861499999999999</v>
      </c>
      <c r="E28" s="29">
        <v>9.2847000000000008</v>
      </c>
      <c r="F28" s="23"/>
      <c r="G28" s="29"/>
      <c r="H28" s="29"/>
      <c r="I28" s="30"/>
      <c r="J28" s="7"/>
      <c r="K28" s="16"/>
      <c r="L28" s="16"/>
      <c r="M28" s="16"/>
      <c r="N28" s="7"/>
      <c r="O28" s="16"/>
      <c r="P28" s="16"/>
      <c r="Q28" s="16"/>
    </row>
    <row r="29" spans="2:17" ht="12" customHeight="1" thickBot="1">
      <c r="J29" s="7"/>
      <c r="K29" s="7"/>
      <c r="L29" s="7"/>
      <c r="M29" s="7"/>
      <c r="N29" s="7"/>
      <c r="O29" s="7"/>
      <c r="P29" s="7"/>
      <c r="Q29" s="7"/>
    </row>
    <row r="30" spans="2:17" ht="18.75">
      <c r="B30" s="86" t="s">
        <v>84</v>
      </c>
      <c r="C30" s="318" t="s">
        <v>10</v>
      </c>
      <c r="D30" s="318"/>
      <c r="E30" s="319"/>
      <c r="F30" s="7"/>
      <c r="G30" s="317" t="s">
        <v>10</v>
      </c>
      <c r="H30" s="318"/>
      <c r="I30" s="319"/>
      <c r="K30" s="340" t="s">
        <v>107</v>
      </c>
      <c r="L30" s="340"/>
      <c r="M30" s="340"/>
      <c r="N30" s="340"/>
      <c r="O30" s="340"/>
      <c r="P30" s="340"/>
    </row>
    <row r="31" spans="2:17">
      <c r="B31" s="33"/>
      <c r="C31" s="14" t="s">
        <v>22</v>
      </c>
      <c r="D31" s="14" t="s">
        <v>23</v>
      </c>
      <c r="E31" s="28" t="s">
        <v>24</v>
      </c>
      <c r="F31" s="7"/>
      <c r="G31" s="27" t="s">
        <v>5</v>
      </c>
      <c r="H31" s="14" t="s">
        <v>4</v>
      </c>
      <c r="I31" s="28" t="s">
        <v>6</v>
      </c>
      <c r="K31" s="340"/>
      <c r="L31" s="340"/>
      <c r="M31" s="340"/>
      <c r="N31" s="340"/>
      <c r="O31" s="340"/>
      <c r="P31" s="340"/>
    </row>
    <row r="32" spans="2:17">
      <c r="B32" s="27" t="s">
        <v>32</v>
      </c>
      <c r="C32" s="6">
        <v>0.2</v>
      </c>
      <c r="D32" s="6">
        <v>0.3</v>
      </c>
      <c r="E32" s="87">
        <v>1.5</v>
      </c>
      <c r="F32" s="7"/>
      <c r="G32" s="100">
        <v>1.2263940474148156</v>
      </c>
      <c r="H32" s="6">
        <v>0.26250299409255901</v>
      </c>
      <c r="I32" s="87">
        <v>0.89861512237222496</v>
      </c>
      <c r="K32" s="340"/>
      <c r="L32" s="340"/>
      <c r="M32" s="340"/>
      <c r="N32" s="340"/>
      <c r="O32" s="340"/>
      <c r="P32" s="340"/>
    </row>
    <row r="33" spans="2:16">
      <c r="B33" s="20" t="s">
        <v>21</v>
      </c>
      <c r="C33" s="6">
        <v>0.1</v>
      </c>
      <c r="D33" s="6">
        <v>0.2</v>
      </c>
      <c r="E33" s="87">
        <v>0.1</v>
      </c>
      <c r="F33" t="s">
        <v>59</v>
      </c>
      <c r="G33" s="100">
        <v>0.11963704092372285</v>
      </c>
      <c r="H33" s="6">
        <v>0.16535380942990913</v>
      </c>
      <c r="I33" s="87">
        <v>0.13548678765900707</v>
      </c>
      <c r="K33" s="340"/>
      <c r="L33" s="340"/>
      <c r="M33" s="340"/>
      <c r="N33" s="340"/>
      <c r="O33" s="340"/>
      <c r="P33" s="340"/>
    </row>
    <row r="34" spans="2:16">
      <c r="B34" s="20" t="s">
        <v>62</v>
      </c>
      <c r="C34" s="6">
        <v>0.4</v>
      </c>
      <c r="D34" s="6">
        <v>0.4</v>
      </c>
      <c r="E34" s="87">
        <v>0.3</v>
      </c>
      <c r="F34" s="7"/>
      <c r="G34" s="100">
        <v>0.33741843045150055</v>
      </c>
      <c r="H34" s="6">
        <v>0.40003972589161113</v>
      </c>
      <c r="I34" s="87">
        <v>0.36912344829678195</v>
      </c>
      <c r="K34" s="340"/>
      <c r="L34" s="340"/>
      <c r="M34" s="340"/>
      <c r="N34" s="340"/>
      <c r="O34" s="340"/>
      <c r="P34" s="340"/>
    </row>
    <row r="35" spans="2:16" ht="15.75" thickBot="1">
      <c r="B35" s="22" t="s">
        <v>37</v>
      </c>
      <c r="C35" s="88">
        <v>0.1</v>
      </c>
      <c r="D35" s="88">
        <v>0.2</v>
      </c>
      <c r="E35" s="89">
        <v>0.1</v>
      </c>
      <c r="F35" s="7"/>
      <c r="G35" s="101">
        <v>0.11963704092372285</v>
      </c>
      <c r="H35" s="88">
        <v>0.16535380942990913</v>
      </c>
      <c r="I35" s="89">
        <v>0.13548678765900707</v>
      </c>
      <c r="K35" s="340"/>
      <c r="L35" s="340"/>
      <c r="M35" s="340"/>
      <c r="N35" s="340"/>
      <c r="O35" s="340"/>
      <c r="P35" s="340"/>
    </row>
    <row r="36" spans="2:16">
      <c r="B36" s="7"/>
      <c r="D36" s="8"/>
      <c r="E36" s="8"/>
      <c r="F36" s="7"/>
      <c r="I36" s="8"/>
      <c r="J36" s="8"/>
      <c r="K36" s="8"/>
    </row>
    <row r="37" spans="2:16">
      <c r="B37" s="31" t="s">
        <v>102</v>
      </c>
    </row>
    <row r="38" spans="2:16" ht="15.75" thickBot="1">
      <c r="C38" s="9" t="s">
        <v>5</v>
      </c>
      <c r="D38" s="9" t="s">
        <v>4</v>
      </c>
      <c r="E38" s="9" t="s">
        <v>6</v>
      </c>
    </row>
    <row r="39" spans="2:16">
      <c r="B39" s="74" t="s">
        <v>41</v>
      </c>
      <c r="C39" s="17">
        <v>0.44383367719197508</v>
      </c>
      <c r="D39" s="18">
        <v>-0.37917792756955926</v>
      </c>
      <c r="E39" s="19">
        <v>0.81191761901372672</v>
      </c>
      <c r="F39" t="s">
        <v>22</v>
      </c>
    </row>
    <row r="40" spans="2:16">
      <c r="C40" s="20">
        <v>-0.64977080572818124</v>
      </c>
      <c r="D40" s="2">
        <v>-0.76026082808393625</v>
      </c>
      <c r="E40" s="21">
        <v>1.4982032728028116E-4</v>
      </c>
      <c r="F40" t="s">
        <v>23</v>
      </c>
    </row>
    <row r="41" spans="2:16" ht="15.75" thickBot="1">
      <c r="C41" s="22">
        <v>-0.61763316863045858</v>
      </c>
      <c r="D41" s="23">
        <v>0.5275455324347833</v>
      </c>
      <c r="E41" s="24">
        <v>0.58393413742954792</v>
      </c>
      <c r="F41" t="s">
        <v>24</v>
      </c>
    </row>
    <row r="43" spans="2:16" ht="18.75">
      <c r="B43" s="73" t="s">
        <v>104</v>
      </c>
    </row>
    <row r="44" spans="2:16" ht="17.25" customHeight="1"/>
    <row r="45" spans="2:16">
      <c r="B45" s="59"/>
      <c r="C45" t="s">
        <v>86</v>
      </c>
      <c r="G45" t="s">
        <v>87</v>
      </c>
      <c r="H45" s="7"/>
      <c r="K45" t="s">
        <v>88</v>
      </c>
    </row>
    <row r="46" spans="2:16">
      <c r="B46" s="59"/>
      <c r="C46" s="9" t="s">
        <v>108</v>
      </c>
      <c r="D46" s="9" t="s">
        <v>4</v>
      </c>
      <c r="E46" s="9" t="s">
        <v>6</v>
      </c>
      <c r="H46" s="7"/>
      <c r="K46" s="9" t="s">
        <v>108</v>
      </c>
      <c r="L46" s="9" t="s">
        <v>4</v>
      </c>
      <c r="M46" s="9" t="s">
        <v>6</v>
      </c>
    </row>
    <row r="47" spans="2:16">
      <c r="B47" s="80" t="s">
        <v>52</v>
      </c>
      <c r="C47" s="2">
        <v>1.4313021560984535E-2</v>
      </c>
      <c r="D47" s="2">
        <v>8.6482797654580997E-3</v>
      </c>
      <c r="E47" s="2">
        <v>-6.0015447261515817E-3</v>
      </c>
      <c r="F47" s="81"/>
      <c r="G47" s="77">
        <v>0.11963704092372285</v>
      </c>
      <c r="H47" s="82"/>
      <c r="I47" s="81"/>
      <c r="J47" s="83"/>
      <c r="K47" s="75">
        <v>1</v>
      </c>
      <c r="L47" s="37">
        <v>0.43716950800234761</v>
      </c>
      <c r="M47" s="37">
        <v>-0.37025457908260517</v>
      </c>
    </row>
    <row r="48" spans="2:16">
      <c r="B48" s="79"/>
      <c r="C48" s="2">
        <v>8.6482797654580997E-3</v>
      </c>
      <c r="D48" s="2">
        <v>2.7341882292982705E-2</v>
      </c>
      <c r="E48" s="2">
        <v>-1.2028813265343555E-2</v>
      </c>
      <c r="F48" s="7"/>
      <c r="G48" s="77">
        <v>0.16535380942990913</v>
      </c>
      <c r="H48" s="79"/>
      <c r="I48" s="7"/>
      <c r="J48" s="76"/>
      <c r="K48" s="75">
        <v>0.43716950800234761</v>
      </c>
      <c r="L48" s="37">
        <v>1</v>
      </c>
      <c r="M48" s="37">
        <v>-0.53692253548714985</v>
      </c>
    </row>
    <row r="49" spans="2:17">
      <c r="B49" s="66"/>
      <c r="C49" s="2">
        <v>-6.0015447261515817E-3</v>
      </c>
      <c r="D49" s="2">
        <v>-1.2028813265343555E-2</v>
      </c>
      <c r="E49" s="2">
        <v>1.835666963015687E-2</v>
      </c>
      <c r="F49" s="53"/>
      <c r="G49" s="77">
        <v>0.13548678765900707</v>
      </c>
      <c r="H49" s="66"/>
      <c r="I49" s="53"/>
      <c r="J49" s="65"/>
      <c r="K49" s="75">
        <v>-0.37025457908260517</v>
      </c>
      <c r="L49" s="37">
        <v>-0.53692253548714985</v>
      </c>
      <c r="M49" s="37">
        <v>1</v>
      </c>
    </row>
    <row r="50" spans="2:17">
      <c r="C50" t="s">
        <v>86</v>
      </c>
      <c r="G50" t="s">
        <v>87</v>
      </c>
      <c r="H50" s="7"/>
      <c r="I50" s="7"/>
      <c r="J50" s="7"/>
      <c r="K50" t="s">
        <v>88</v>
      </c>
    </row>
    <row r="51" spans="2:17">
      <c r="B51" s="80" t="s">
        <v>55</v>
      </c>
      <c r="C51" s="2">
        <v>1.5040423595344932</v>
      </c>
      <c r="D51" s="2">
        <v>1.4682758594595148E-2</v>
      </c>
      <c r="E51" s="2">
        <v>1.0377713507085162</v>
      </c>
      <c r="F51" s="81"/>
      <c r="G51" s="77">
        <v>1.2263940474148156</v>
      </c>
      <c r="H51" s="82"/>
      <c r="I51" s="81"/>
      <c r="J51" s="81"/>
      <c r="K51" s="37">
        <v>1.0000000000000002</v>
      </c>
      <c r="L51" s="37">
        <v>4.5608245237495515E-2</v>
      </c>
      <c r="M51" s="37">
        <v>0.94166823422636914</v>
      </c>
    </row>
    <row r="52" spans="2:17">
      <c r="B52" s="84"/>
      <c r="C52" s="2">
        <v>1.4682758594595148E-2</v>
      </c>
      <c r="D52" s="2">
        <v>6.8907821907558064E-2</v>
      </c>
      <c r="E52" s="2">
        <v>-1.9846856527603332E-2</v>
      </c>
      <c r="F52" s="7"/>
      <c r="G52" s="77">
        <v>0.26250299409255901</v>
      </c>
      <c r="H52" s="79"/>
      <c r="I52" s="7"/>
      <c r="J52" s="7"/>
      <c r="K52" s="37">
        <v>4.5608245237495515E-2</v>
      </c>
      <c r="L52" s="37">
        <v>1</v>
      </c>
      <c r="M52" s="37">
        <v>-8.413636520719521E-2</v>
      </c>
    </row>
    <row r="53" spans="2:17">
      <c r="B53" s="85"/>
      <c r="C53" s="2">
        <v>1.0377713507085162</v>
      </c>
      <c r="D53" s="2">
        <v>-1.9846856527603332E-2</v>
      </c>
      <c r="E53" s="2">
        <v>0.80750913815604874</v>
      </c>
      <c r="F53" s="53"/>
      <c r="G53" s="77">
        <v>0.89861512237222496</v>
      </c>
      <c r="H53" s="66"/>
      <c r="I53" s="53"/>
      <c r="J53" s="53"/>
      <c r="K53" s="37">
        <v>0.94166823422636914</v>
      </c>
      <c r="L53" s="37">
        <v>-8.413636520719521E-2</v>
      </c>
      <c r="M53" s="37">
        <v>0.99999999999999989</v>
      </c>
    </row>
    <row r="54" spans="2:17">
      <c r="B54" s="59"/>
      <c r="C54" t="s">
        <v>86</v>
      </c>
      <c r="G54" t="s">
        <v>87</v>
      </c>
      <c r="H54" s="7"/>
      <c r="I54" s="7"/>
      <c r="K54" t="s">
        <v>88</v>
      </c>
    </row>
    <row r="55" spans="2:17">
      <c r="B55" s="80" t="s">
        <v>56</v>
      </c>
      <c r="C55" s="2">
        <v>0.11385119720835413</v>
      </c>
      <c r="D55" s="2">
        <v>-7.6187745970780506E-6</v>
      </c>
      <c r="E55" s="2">
        <v>-3.3196026225153219E-2</v>
      </c>
      <c r="F55" s="81"/>
      <c r="G55" s="77">
        <v>0.33741843045150055</v>
      </c>
      <c r="H55" s="82"/>
      <c r="I55" s="81"/>
      <c r="J55" s="81"/>
      <c r="K55" s="37">
        <v>1.0000000000000002</v>
      </c>
      <c r="L55" s="37">
        <v>-5.6443404747403712E-5</v>
      </c>
      <c r="M55" s="37">
        <v>-0.26652973272676972</v>
      </c>
    </row>
    <row r="56" spans="2:17">
      <c r="B56" s="84"/>
      <c r="C56" s="2">
        <v>-7.6187745970780506E-6</v>
      </c>
      <c r="D56" s="2">
        <v>0.16003178229143536</v>
      </c>
      <c r="E56" s="2">
        <v>4.7521393860303578E-5</v>
      </c>
      <c r="F56" s="7"/>
      <c r="G56" s="6">
        <v>0.40003972589161113</v>
      </c>
      <c r="H56" s="79"/>
      <c r="I56" s="7"/>
      <c r="J56" s="7"/>
      <c r="K56" s="37">
        <v>-5.6443404747403712E-5</v>
      </c>
      <c r="L56" s="37">
        <v>1</v>
      </c>
      <c r="M56" s="37">
        <v>3.2182102609491873E-4</v>
      </c>
    </row>
    <row r="57" spans="2:17">
      <c r="B57" s="85"/>
      <c r="C57" s="2">
        <v>-3.3196026225153233E-2</v>
      </c>
      <c r="D57" s="2">
        <v>4.7521393860303578E-5</v>
      </c>
      <c r="E57" s="2">
        <v>0.13625212008250706</v>
      </c>
      <c r="F57" s="53"/>
      <c r="G57" s="78">
        <v>0.36912344829678195</v>
      </c>
      <c r="H57" s="66"/>
      <c r="I57" s="53"/>
      <c r="J57" s="53"/>
      <c r="K57" s="37">
        <v>-0.26652973272676983</v>
      </c>
      <c r="L57" s="37">
        <v>3.2182102609491873E-4</v>
      </c>
      <c r="M57" s="37">
        <v>1</v>
      </c>
    </row>
    <row r="58" spans="2:17">
      <c r="B58" s="59"/>
      <c r="C58" t="s">
        <v>86</v>
      </c>
      <c r="G58" t="s">
        <v>87</v>
      </c>
      <c r="H58" s="7"/>
      <c r="I58" s="7"/>
      <c r="K58" t="s">
        <v>88</v>
      </c>
    </row>
    <row r="59" spans="2:17">
      <c r="B59" s="80" t="s">
        <v>37</v>
      </c>
      <c r="C59" s="2">
        <v>1.4313021560984535E-2</v>
      </c>
      <c r="D59" s="2">
        <v>8.6482797654580997E-3</v>
      </c>
      <c r="E59" s="2">
        <v>-6.0015447261515817E-3</v>
      </c>
      <c r="F59" s="81"/>
      <c r="G59" s="77">
        <v>0.11963704092372285</v>
      </c>
      <c r="H59" s="82"/>
      <c r="I59" s="81"/>
      <c r="J59" s="81"/>
      <c r="K59" s="37">
        <v>1</v>
      </c>
      <c r="L59" s="37">
        <v>0.43716950800234761</v>
      </c>
      <c r="M59" s="37">
        <v>-0.37025457908260517</v>
      </c>
    </row>
    <row r="60" spans="2:17">
      <c r="B60" s="79"/>
      <c r="C60" s="2">
        <v>8.6482797654580997E-3</v>
      </c>
      <c r="D60" s="2">
        <v>2.7341882292982705E-2</v>
      </c>
      <c r="E60" s="2">
        <v>-1.2028813265343555E-2</v>
      </c>
      <c r="F60" s="7"/>
      <c r="G60" s="6">
        <v>0.16535380942990913</v>
      </c>
      <c r="H60" s="79"/>
      <c r="I60" s="7"/>
      <c r="J60" s="7"/>
      <c r="K60" s="37">
        <v>0.43716950800234761</v>
      </c>
      <c r="L60" s="37">
        <v>1</v>
      </c>
      <c r="M60" s="37">
        <v>-0.53692253548714985</v>
      </c>
    </row>
    <row r="61" spans="2:17">
      <c r="B61" s="66"/>
      <c r="C61" s="2">
        <v>-6.0015447261515817E-3</v>
      </c>
      <c r="D61" s="2">
        <v>-1.2028813265343555E-2</v>
      </c>
      <c r="E61" s="2">
        <v>1.835666963015687E-2</v>
      </c>
      <c r="F61" s="53"/>
      <c r="G61" s="78">
        <v>0.13548678765900707</v>
      </c>
      <c r="H61" s="66"/>
      <c r="I61" s="53"/>
      <c r="J61" s="53"/>
      <c r="K61" s="37">
        <v>-0.37025457908260517</v>
      </c>
      <c r="L61" s="37">
        <v>-0.53692253548714985</v>
      </c>
      <c r="M61" s="37">
        <v>1</v>
      </c>
    </row>
    <row r="62" spans="2:17" ht="104.25" customHeight="1"/>
    <row r="63" spans="2:17" ht="19.5" thickBot="1">
      <c r="B63" s="73" t="s">
        <v>99</v>
      </c>
    </row>
    <row r="64" spans="2:17">
      <c r="B64" s="115" t="s">
        <v>15</v>
      </c>
      <c r="C64" s="346" t="s">
        <v>13</v>
      </c>
      <c r="D64" s="346"/>
      <c r="E64" s="346"/>
      <c r="F64" s="116"/>
      <c r="G64" s="347" t="s">
        <v>12</v>
      </c>
      <c r="H64" s="347"/>
      <c r="I64" s="347"/>
      <c r="J64" s="116"/>
      <c r="K64" s="347" t="s">
        <v>11</v>
      </c>
      <c r="L64" s="347"/>
      <c r="M64" s="348"/>
      <c r="N64" s="7"/>
      <c r="O64" s="313"/>
      <c r="P64" s="313"/>
      <c r="Q64" s="313"/>
    </row>
    <row r="65" spans="2:17" ht="15.75" thickBot="1">
      <c r="B65" s="117"/>
      <c r="C65" s="114" t="s">
        <v>5</v>
      </c>
      <c r="D65" s="114" t="s">
        <v>4</v>
      </c>
      <c r="E65" s="114" t="s">
        <v>6</v>
      </c>
      <c r="F65" s="113"/>
      <c r="G65" s="114" t="s">
        <v>5</v>
      </c>
      <c r="H65" s="114" t="s">
        <v>4</v>
      </c>
      <c r="I65" s="114" t="s">
        <v>6</v>
      </c>
      <c r="J65" s="113"/>
      <c r="K65" s="114" t="s">
        <v>5</v>
      </c>
      <c r="L65" s="114" t="s">
        <v>4</v>
      </c>
      <c r="M65" s="118" t="s">
        <v>6</v>
      </c>
      <c r="N65" s="7"/>
      <c r="O65" s="105"/>
      <c r="P65" s="105"/>
      <c r="Q65" s="105"/>
    </row>
    <row r="66" spans="2:17" ht="15.75" thickTop="1">
      <c r="B66" s="69" t="s">
        <v>75</v>
      </c>
      <c r="C66" s="50">
        <v>31.370899999999999</v>
      </c>
      <c r="D66" s="50">
        <v>-17.4087</v>
      </c>
      <c r="E66" s="50">
        <v>1.9772999999999996</v>
      </c>
      <c r="F66" s="56"/>
      <c r="G66" s="50">
        <v>31.371700000000001</v>
      </c>
      <c r="H66" s="50">
        <v>-17.410399999999996</v>
      </c>
      <c r="I66" s="50">
        <v>1.9626999999999999</v>
      </c>
      <c r="J66" s="56"/>
      <c r="K66" s="50">
        <v>31.3703</v>
      </c>
      <c r="L66" s="50">
        <v>-17.4132</v>
      </c>
      <c r="M66" s="51">
        <v>1.9616000000000007</v>
      </c>
      <c r="N66" s="7"/>
      <c r="O66" s="16"/>
      <c r="P66" s="16"/>
      <c r="Q66" s="16"/>
    </row>
    <row r="67" spans="2:17">
      <c r="B67" s="20" t="s">
        <v>63</v>
      </c>
      <c r="C67" s="14"/>
      <c r="D67" s="14"/>
      <c r="E67" s="14"/>
      <c r="F67" s="2"/>
      <c r="G67" s="14"/>
      <c r="H67" s="14"/>
      <c r="I67" s="14"/>
      <c r="J67" s="2"/>
      <c r="K67" s="14">
        <v>-23.848100000000002</v>
      </c>
      <c r="L67" s="14">
        <v>3.4850999999999956</v>
      </c>
      <c r="M67" s="28">
        <v>-1.7750000000000004</v>
      </c>
      <c r="N67" s="7"/>
      <c r="O67" s="16"/>
      <c r="P67" s="16"/>
      <c r="Q67" s="16"/>
    </row>
    <row r="68" spans="2:17" ht="15.75" thickBot="1">
      <c r="B68" s="22" t="s">
        <v>64</v>
      </c>
      <c r="C68" s="29"/>
      <c r="D68" s="29"/>
      <c r="E68" s="29"/>
      <c r="F68" s="23"/>
      <c r="G68" s="29"/>
      <c r="H68" s="29"/>
      <c r="I68" s="29"/>
      <c r="J68" s="23"/>
      <c r="K68" s="29">
        <v>7.5221999999999998</v>
      </c>
      <c r="L68" s="29">
        <v>-13.928100000000004</v>
      </c>
      <c r="M68" s="30">
        <v>0.18660000000000032</v>
      </c>
      <c r="N68" s="7"/>
      <c r="O68" s="16"/>
      <c r="P68" s="16"/>
      <c r="Q68" s="16"/>
    </row>
    <row r="70" spans="2:17" ht="16.5" thickBot="1">
      <c r="M70" s="360"/>
      <c r="N70" s="360"/>
      <c r="O70" s="360"/>
      <c r="P70" s="360"/>
      <c r="Q70" s="360"/>
    </row>
    <row r="71" spans="2:17">
      <c r="B71" s="115" t="s">
        <v>15</v>
      </c>
      <c r="C71" s="347" t="s">
        <v>10</v>
      </c>
      <c r="D71" s="347"/>
      <c r="E71" s="347"/>
      <c r="F71" s="116"/>
      <c r="G71" s="347" t="s">
        <v>9</v>
      </c>
      <c r="H71" s="347"/>
      <c r="I71" s="348"/>
      <c r="M71" s="7"/>
      <c r="N71" s="7"/>
      <c r="O71" s="7"/>
      <c r="P71" s="7"/>
      <c r="Q71" s="7"/>
    </row>
    <row r="72" spans="2:17" ht="15.75" thickBot="1">
      <c r="B72" s="117"/>
      <c r="C72" s="114" t="s">
        <v>5</v>
      </c>
      <c r="D72" s="114" t="s">
        <v>4</v>
      </c>
      <c r="E72" s="114" t="s">
        <v>6</v>
      </c>
      <c r="F72" s="113"/>
      <c r="G72" s="114" t="s">
        <v>5</v>
      </c>
      <c r="H72" s="114" t="s">
        <v>4</v>
      </c>
      <c r="I72" s="118" t="s">
        <v>6</v>
      </c>
      <c r="M72" s="313"/>
      <c r="N72" s="313"/>
      <c r="O72" s="16"/>
      <c r="P72" s="16"/>
      <c r="Q72" s="16"/>
    </row>
    <row r="73" spans="2:17" ht="15.75" thickTop="1">
      <c r="B73" s="69" t="s">
        <v>75</v>
      </c>
      <c r="C73" s="50">
        <v>31.3687</v>
      </c>
      <c r="D73" s="50">
        <v>-17.411000000000005</v>
      </c>
      <c r="E73" s="50">
        <v>1.9619999999999997</v>
      </c>
      <c r="F73" s="50"/>
      <c r="G73" s="50">
        <v>31.371599999999997</v>
      </c>
      <c r="H73" s="50">
        <v>-17.4101</v>
      </c>
      <c r="I73" s="51">
        <v>1.9661999999999988</v>
      </c>
      <c r="M73" s="313"/>
      <c r="N73" s="313"/>
      <c r="O73" s="8"/>
      <c r="P73" s="8"/>
      <c r="Q73" s="8"/>
    </row>
    <row r="74" spans="2:17">
      <c r="B74" s="20" t="s">
        <v>63</v>
      </c>
      <c r="C74" s="14">
        <v>-23.847900000000003</v>
      </c>
      <c r="D74" s="14">
        <v>3.4842000000000013</v>
      </c>
      <c r="E74" s="14">
        <v>-1.7741000000000007</v>
      </c>
      <c r="F74" s="14"/>
      <c r="G74" s="14"/>
      <c r="H74" s="14"/>
      <c r="I74" s="21"/>
      <c r="M74" s="313"/>
      <c r="N74" s="313"/>
      <c r="O74" s="8"/>
      <c r="P74" s="8"/>
      <c r="Q74" s="8"/>
    </row>
    <row r="75" spans="2:17" ht="15.75" thickBot="1">
      <c r="B75" s="22" t="s">
        <v>64</v>
      </c>
      <c r="C75" s="29">
        <v>7.5207999999999995</v>
      </c>
      <c r="D75" s="29">
        <v>-13.926800000000004</v>
      </c>
      <c r="E75" s="29">
        <v>0.18789999999999907</v>
      </c>
      <c r="F75" s="29"/>
      <c r="G75" s="29"/>
      <c r="H75" s="29"/>
      <c r="I75" s="24"/>
      <c r="M75" s="313"/>
      <c r="N75" s="313"/>
      <c r="O75" s="8"/>
      <c r="P75" s="8"/>
      <c r="Q75" s="8"/>
    </row>
    <row r="76" spans="2:17">
      <c r="M76" s="7"/>
      <c r="N76" s="7"/>
      <c r="O76" s="7"/>
      <c r="P76" s="7"/>
      <c r="Q76" s="7"/>
    </row>
  </sheetData>
  <mergeCells count="30">
    <mergeCell ref="K64:M64"/>
    <mergeCell ref="O64:Q64"/>
    <mergeCell ref="K16:M16"/>
    <mergeCell ref="O16:Q16"/>
    <mergeCell ref="C2:L2"/>
    <mergeCell ref="E8:N8"/>
    <mergeCell ref="E10:N10"/>
    <mergeCell ref="E11:N11"/>
    <mergeCell ref="B5:Q5"/>
    <mergeCell ref="E12:N12"/>
    <mergeCell ref="B15:P15"/>
    <mergeCell ref="Q15:S15"/>
    <mergeCell ref="C16:E16"/>
    <mergeCell ref="G16:I16"/>
    <mergeCell ref="M73:N73"/>
    <mergeCell ref="M74:N74"/>
    <mergeCell ref="M75:N75"/>
    <mergeCell ref="M70:Q70"/>
    <mergeCell ref="C23:E23"/>
    <mergeCell ref="G23:I23"/>
    <mergeCell ref="K23:M23"/>
    <mergeCell ref="O23:Q23"/>
    <mergeCell ref="G71:I71"/>
    <mergeCell ref="C71:E71"/>
    <mergeCell ref="M72:N72"/>
    <mergeCell ref="C30:E30"/>
    <mergeCell ref="G30:I30"/>
    <mergeCell ref="K30:P35"/>
    <mergeCell ref="C64:E64"/>
    <mergeCell ref="G64:I64"/>
  </mergeCells>
  <pageMargins left="0.25" right="0.25" top="0.75" bottom="0.75" header="0.3" footer="0.3"/>
  <pageSetup paperSize="9" scale="97" orientation="landscape" horizontalDpi="4294967294" verticalDpi="1200" r:id="rId1"/>
  <rowBreaks count="1" manualBreakCount="1">
    <brk id="35"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7A071-932C-42CB-AA68-D074CB072E6F}">
  <dimension ref="A1:BR74"/>
  <sheetViews>
    <sheetView topLeftCell="A25" workbookViewId="0">
      <selection activeCell="J38" sqref="J38:L40"/>
    </sheetView>
  </sheetViews>
  <sheetFormatPr defaultRowHeight="15"/>
  <cols>
    <col min="1" max="1" width="9.140625" style="9"/>
    <col min="2" max="2" width="15.28515625" style="227" customWidth="1"/>
    <col min="3" max="3" width="12.85546875" customWidth="1"/>
    <col min="4" max="4" width="3.7109375" customWidth="1"/>
    <col min="5" max="5" width="1.85546875" customWidth="1"/>
    <col min="6" max="6" width="13.7109375" style="3" customWidth="1"/>
    <col min="7" max="8" width="13.7109375" style="130" customWidth="1"/>
    <col min="9" max="9" width="3.42578125" style="120" customWidth="1"/>
    <col min="10" max="10" width="13.85546875" style="120" customWidth="1"/>
    <col min="11" max="12" width="13.85546875" customWidth="1"/>
    <col min="13" max="13" width="4.28515625" customWidth="1"/>
    <col min="14" max="14" width="13.5703125" customWidth="1"/>
    <col min="15" max="16" width="13" customWidth="1"/>
    <col min="17" max="17" width="4" customWidth="1"/>
    <col min="18" max="20" width="14.140625" customWidth="1"/>
    <col min="21" max="21" width="4.85546875" customWidth="1"/>
    <col min="22" max="22" width="8.85546875" style="3" customWidth="1"/>
    <col min="23" max="23" width="9.7109375" style="3" customWidth="1"/>
    <col min="24" max="24" width="8.85546875" style="3" customWidth="1"/>
    <col min="25" max="25" width="4.85546875" customWidth="1"/>
    <col min="26" max="26" width="8.85546875" customWidth="1"/>
    <col min="27" max="27" width="10" customWidth="1"/>
    <col min="28" max="28" width="8.85546875" customWidth="1"/>
    <col min="29" max="29" width="4.85546875" customWidth="1"/>
    <col min="30" max="30" width="8.85546875" customWidth="1"/>
    <col min="31" max="32" width="10.28515625" customWidth="1"/>
    <col min="33" max="36" width="10.140625" customWidth="1"/>
    <col min="37" max="37" width="3.5703125" customWidth="1"/>
    <col min="38" max="40" width="13" customWidth="1"/>
    <col min="41" max="41" width="11" customWidth="1"/>
    <col min="42" max="43" width="10.28515625" customWidth="1"/>
    <col min="44" max="46" width="11.28515625" customWidth="1"/>
    <col min="47" max="47" width="10.7109375" customWidth="1"/>
    <col min="48" max="50" width="11" customWidth="1"/>
    <col min="51" max="52" width="8.5703125" customWidth="1"/>
    <col min="59" max="59" width="3.85546875" customWidth="1"/>
    <col min="60" max="60" width="9.42578125" customWidth="1"/>
    <col min="61" max="63" width="9.28515625" customWidth="1"/>
    <col min="64" max="66" width="8.42578125" customWidth="1"/>
    <col min="67" max="67" width="7.140625" customWidth="1"/>
    <col min="68" max="70" width="8.28515625" customWidth="1"/>
  </cols>
  <sheetData>
    <row r="1" spans="1:70">
      <c r="F1" s="249" t="s">
        <v>215</v>
      </c>
      <c r="N1" t="s">
        <v>249</v>
      </c>
      <c r="R1" t="s">
        <v>235</v>
      </c>
      <c r="V1" s="3" t="s">
        <v>129</v>
      </c>
      <c r="Z1" s="3"/>
      <c r="AA1" s="3"/>
      <c r="AB1" s="3"/>
    </row>
    <row r="2" spans="1:70" ht="15.75" thickBot="1">
      <c r="A2"/>
      <c r="B2" s="227" t="s">
        <v>224</v>
      </c>
      <c r="C2" s="2" t="s">
        <v>221</v>
      </c>
      <c r="D2" s="2"/>
      <c r="E2" s="6"/>
      <c r="F2" s="192" t="s">
        <v>22</v>
      </c>
      <c r="G2" s="192" t="s">
        <v>23</v>
      </c>
      <c r="H2" s="192" t="s">
        <v>24</v>
      </c>
      <c r="I2" s="201"/>
      <c r="J2" s="194" t="s">
        <v>228</v>
      </c>
      <c r="K2" s="201" t="s">
        <v>229</v>
      </c>
      <c r="L2" s="201" t="s">
        <v>230</v>
      </c>
      <c r="N2" s="16">
        <f>J3</f>
        <v>139.65037766</v>
      </c>
      <c r="O2" s="16">
        <f>K3</f>
        <v>35.207423110000001</v>
      </c>
      <c r="P2" s="16">
        <f>L3</f>
        <v>105.15900000000001</v>
      </c>
      <c r="R2" s="264">
        <f>J4</f>
        <v>139.65041681</v>
      </c>
      <c r="S2" s="264">
        <f>K4</f>
        <v>35.206730350000001</v>
      </c>
      <c r="T2">
        <f>L4</f>
        <v>98.305000000000007</v>
      </c>
      <c r="V2" s="3">
        <f>J4</f>
        <v>139.65041681</v>
      </c>
      <c r="W2" s="3">
        <f>K4</f>
        <v>35.206730350000001</v>
      </c>
      <c r="X2" s="3">
        <f>L4</f>
        <v>98.305000000000007</v>
      </c>
      <c r="Z2" s="3" t="s">
        <v>216</v>
      </c>
      <c r="AA2" s="3"/>
      <c r="AB2" s="138" t="s">
        <v>217</v>
      </c>
      <c r="AC2" s="54" t="s">
        <v>218</v>
      </c>
      <c r="AD2" s="54"/>
      <c r="AE2" s="54" t="s">
        <v>217</v>
      </c>
      <c r="AF2" s="54" t="s">
        <v>218</v>
      </c>
      <c r="AH2" t="s">
        <v>223</v>
      </c>
    </row>
    <row r="3" spans="1:70">
      <c r="A3"/>
      <c r="B3"/>
      <c r="C3" s="2" t="s">
        <v>248</v>
      </c>
      <c r="D3" s="2"/>
      <c r="E3" s="6"/>
      <c r="F3" s="14">
        <v>-3976129.8080000002</v>
      </c>
      <c r="G3" s="14">
        <v>3377927.95</v>
      </c>
      <c r="H3" s="14">
        <v>3656753.9580000001</v>
      </c>
      <c r="I3" s="201"/>
      <c r="J3" s="262">
        <v>139.65037766</v>
      </c>
      <c r="K3" s="151">
        <v>35.207423110000001</v>
      </c>
      <c r="L3" s="151">
        <v>105.15900000000001</v>
      </c>
      <c r="N3" s="265">
        <f>-SIN(RADIANS(N2))</f>
        <v>-0.64745006346764367</v>
      </c>
      <c r="O3" s="266">
        <f>COS(RADIANS(N2))</f>
        <v>-0.76210787642940958</v>
      </c>
      <c r="P3" s="267">
        <v>0</v>
      </c>
      <c r="R3" s="265">
        <f>-SIN(RADIANS(R2))</f>
        <v>-0.64744954272192257</v>
      </c>
      <c r="S3" s="266">
        <f>COS(RADIANS(R2))</f>
        <v>-0.76210831882953056</v>
      </c>
      <c r="T3" s="267">
        <v>0</v>
      </c>
      <c r="V3" s="236">
        <f>-SIN(RADIANS(V2))</f>
        <v>-0.64744954272192257</v>
      </c>
      <c r="W3" s="237">
        <f>COS(RADIANS(V2))</f>
        <v>-0.76210831882953056</v>
      </c>
      <c r="X3" s="238">
        <v>0</v>
      </c>
      <c r="Z3" s="3"/>
      <c r="AA3" s="14" t="s">
        <v>181</v>
      </c>
      <c r="AB3" s="14">
        <v>16.399999999999999</v>
      </c>
      <c r="AC3" s="2">
        <v>-24.3</v>
      </c>
      <c r="AD3" s="2" t="s">
        <v>219</v>
      </c>
      <c r="AE3" s="273">
        <f t="shared" ref="AE3:AF6" si="0">RADIANS(AB3/3600)</f>
        <v>7.9509443701963883E-5</v>
      </c>
      <c r="AF3" s="273">
        <f t="shared" si="0"/>
        <v>-1.1780972450961724E-4</v>
      </c>
      <c r="AG3" s="2" t="s">
        <v>220</v>
      </c>
      <c r="AH3" s="17">
        <v>1</v>
      </c>
      <c r="AI3" s="18">
        <v>0</v>
      </c>
      <c r="AJ3" s="254">
        <f>-AH5</f>
        <v>4.5087672343186846E-5</v>
      </c>
    </row>
    <row r="4" spans="1:70">
      <c r="A4"/>
      <c r="B4"/>
      <c r="C4" s="2" t="s">
        <v>129</v>
      </c>
      <c r="D4" s="2"/>
      <c r="E4" s="6"/>
      <c r="F4" s="300">
        <v>-3976161.6181999999</v>
      </c>
      <c r="G4" s="300">
        <v>3377950.2969</v>
      </c>
      <c r="H4" s="300">
        <v>3656687.2071000002</v>
      </c>
      <c r="I4" s="301"/>
      <c r="J4" s="302">
        <v>139.65041681</v>
      </c>
      <c r="K4" s="303">
        <v>35.206730350000001</v>
      </c>
      <c r="L4" s="303">
        <v>98.305000000000007</v>
      </c>
      <c r="N4" s="268">
        <f>-COS(RADIANS(N2))*SIN(RADIANS(O2))</f>
        <v>0.43938428709045546</v>
      </c>
      <c r="O4" s="269">
        <f>-SIN(RADIANS(N2))*SIN(RADIANS(O2))</f>
        <v>-0.37327968042559745</v>
      </c>
      <c r="P4" s="270">
        <f>COS(RADIANS(O2))</f>
        <v>0.81707021022637716</v>
      </c>
      <c r="R4" s="268">
        <f>-COS(RADIANS(R2))*SIN(RADIANS(S2))</f>
        <v>0.43937701313705063</v>
      </c>
      <c r="S4" s="269">
        <f>-SIN(RADIANS(R2))*SIN(RADIANS(S2))</f>
        <v>-0.3732729839178402</v>
      </c>
      <c r="T4" s="270">
        <f>COS(RADIANS(S2))</f>
        <v>0.81707718105686689</v>
      </c>
      <c r="V4" s="239">
        <f>-COS(RADIANS(V2))*SIN(RADIANS(W2))</f>
        <v>0.43937701313705063</v>
      </c>
      <c r="W4" s="240">
        <f>-SIN(RADIANS(V2))*SIN(RADIANS(W2))</f>
        <v>-0.3732729839178402</v>
      </c>
      <c r="X4" s="241">
        <f>COS(RADIANS(W2))</f>
        <v>0.81707718105686689</v>
      </c>
      <c r="Z4" s="3"/>
      <c r="AA4" s="14" t="s">
        <v>187</v>
      </c>
      <c r="AB4" s="14">
        <v>11.4</v>
      </c>
      <c r="AC4" s="2">
        <v>-17.399999999999999</v>
      </c>
      <c r="AD4" s="2" t="s">
        <v>219</v>
      </c>
      <c r="AE4" s="273">
        <f t="shared" si="0"/>
        <v>5.5268759646487099E-5</v>
      </c>
      <c r="AF4" s="273">
        <f t="shared" si="0"/>
        <v>-8.4357580513059246E-5</v>
      </c>
      <c r="AG4" s="2" t="s">
        <v>220</v>
      </c>
      <c r="AH4" s="20">
        <v>0</v>
      </c>
      <c r="AI4" s="2">
        <v>1</v>
      </c>
      <c r="AJ4" s="255">
        <f>-AI5</f>
        <v>9.2114599410811831E-6</v>
      </c>
    </row>
    <row r="5" spans="1:70" ht="15.75" thickBot="1">
      <c r="A5"/>
      <c r="B5"/>
      <c r="C5" s="2"/>
      <c r="D5" s="2"/>
      <c r="E5" s="6"/>
      <c r="F5" s="14"/>
      <c r="G5" s="14"/>
      <c r="H5" s="14"/>
      <c r="I5" s="201"/>
      <c r="J5" s="194"/>
      <c r="K5" s="151"/>
      <c r="L5" s="151"/>
      <c r="N5" s="222">
        <f>COS(RADIANS(N2))*COS(RADIANS(O2))</f>
        <v>-0.62269564280935552</v>
      </c>
      <c r="O5" s="271">
        <f>SIN(RADIANS(N2))*COS(RADIANS(O2))</f>
        <v>0.52901215946858882</v>
      </c>
      <c r="P5" s="272">
        <f>SIN(RADIANS(O2))</f>
        <v>0.57653817875369184</v>
      </c>
      <c r="R5" s="222">
        <f>COS(RADIANS(R2))*COS(RADIANS(S2))</f>
        <v>-0.62270131680922081</v>
      </c>
      <c r="S5" s="271">
        <f>SIN(RADIANS(R2))*COS(RADIANS(S2))</f>
        <v>0.52901624724378604</v>
      </c>
      <c r="T5" s="272">
        <f>SIN(RADIANS(S2))</f>
        <v>0.57652829956227136</v>
      </c>
      <c r="V5" s="242">
        <f>COS(RADIANS(V2))*COS(RADIANS(W2))</f>
        <v>-0.62270131680922081</v>
      </c>
      <c r="W5" s="243">
        <f>SIN(RADIANS(V2))*COS(RADIANS(W2))</f>
        <v>0.52901624724378604</v>
      </c>
      <c r="X5" s="244">
        <f>SIN(RADIANS(W2))</f>
        <v>0.57652829956227136</v>
      </c>
      <c r="Z5" s="3"/>
      <c r="AA5" s="209" t="s">
        <v>221</v>
      </c>
      <c r="AB5" s="209">
        <v>-1.9</v>
      </c>
      <c r="AC5" s="168">
        <v>-9.3000000000000007</v>
      </c>
      <c r="AD5" s="168" t="s">
        <v>219</v>
      </c>
      <c r="AE5" s="295">
        <f t="shared" si="0"/>
        <v>-9.2114599410811831E-6</v>
      </c>
      <c r="AF5" s="295">
        <f t="shared" si="0"/>
        <v>-4.5087672343186846E-5</v>
      </c>
      <c r="AG5" s="168" t="s">
        <v>220</v>
      </c>
      <c r="AH5" s="252">
        <f>AF5</f>
        <v>-4.5087672343186846E-5</v>
      </c>
      <c r="AI5" s="253">
        <f>AE5</f>
        <v>-9.2114599410811831E-6</v>
      </c>
      <c r="AJ5" s="24">
        <v>1</v>
      </c>
    </row>
    <row r="6" spans="1:70">
      <c r="A6"/>
      <c r="B6"/>
      <c r="C6" s="31" t="s">
        <v>233</v>
      </c>
      <c r="E6" s="1"/>
      <c r="F6" s="14"/>
      <c r="G6" s="14"/>
      <c r="H6" s="14"/>
      <c r="I6" s="200"/>
      <c r="J6" s="194"/>
      <c r="K6" s="151"/>
      <c r="L6" s="151"/>
      <c r="Q6" t="s">
        <v>213</v>
      </c>
      <c r="U6" t="s">
        <v>221</v>
      </c>
      <c r="Z6" s="3"/>
      <c r="AA6" s="14" t="s">
        <v>222</v>
      </c>
      <c r="AB6" s="14">
        <v>-4.5</v>
      </c>
      <c r="AC6" s="2">
        <v>13.6</v>
      </c>
      <c r="AD6" s="2" t="s">
        <v>219</v>
      </c>
      <c r="AE6" s="273">
        <f t="shared" si="0"/>
        <v>-2.1816615649929121E-5</v>
      </c>
      <c r="AF6" s="273">
        <f t="shared" si="0"/>
        <v>6.5934660630896893E-5</v>
      </c>
      <c r="AG6" s="2" t="s">
        <v>220</v>
      </c>
    </row>
    <row r="7" spans="1:70" ht="16.5" thickBot="1">
      <c r="B7" s="234" t="s">
        <v>209</v>
      </c>
      <c r="V7" s="3" t="s">
        <v>225</v>
      </c>
      <c r="AL7" s="3" t="s">
        <v>225</v>
      </c>
      <c r="AM7" t="s">
        <v>210</v>
      </c>
      <c r="BD7" t="s">
        <v>211</v>
      </c>
      <c r="BE7" t="s">
        <v>212</v>
      </c>
    </row>
    <row r="8" spans="1:70">
      <c r="A8" s="194" t="s">
        <v>207</v>
      </c>
      <c r="B8" s="232" t="s">
        <v>169</v>
      </c>
      <c r="C8" s="2"/>
      <c r="D8" s="2"/>
      <c r="E8" s="2"/>
      <c r="F8" s="316" t="s">
        <v>10</v>
      </c>
      <c r="G8" s="316"/>
      <c r="H8" s="316"/>
      <c r="I8" s="131"/>
      <c r="J8" s="316" t="s">
        <v>11</v>
      </c>
      <c r="K8" s="316"/>
      <c r="L8" s="316"/>
      <c r="M8" s="2"/>
      <c r="N8" s="316" t="s">
        <v>12</v>
      </c>
      <c r="O8" s="316"/>
      <c r="P8" s="316"/>
      <c r="Q8" s="2"/>
      <c r="R8" s="316" t="s">
        <v>13</v>
      </c>
      <c r="S8" s="316"/>
      <c r="T8" s="316"/>
      <c r="V8" s="317" t="s">
        <v>10</v>
      </c>
      <c r="W8" s="318"/>
      <c r="X8" s="318"/>
      <c r="Y8" s="245"/>
      <c r="Z8" s="318" t="s">
        <v>11</v>
      </c>
      <c r="AA8" s="318"/>
      <c r="AB8" s="318"/>
      <c r="AC8" s="18"/>
      <c r="AD8" s="318" t="s">
        <v>12</v>
      </c>
      <c r="AE8" s="318"/>
      <c r="AF8" s="318"/>
      <c r="AG8" s="18"/>
      <c r="AH8" s="318" t="s">
        <v>13</v>
      </c>
      <c r="AI8" s="318"/>
      <c r="AJ8" s="319"/>
      <c r="AK8" s="256"/>
      <c r="AL8" s="317" t="s">
        <v>10</v>
      </c>
      <c r="AM8" s="318"/>
      <c r="AN8" s="318"/>
      <c r="AO8" s="245"/>
      <c r="AP8" s="318" t="s">
        <v>11</v>
      </c>
      <c r="AQ8" s="318"/>
      <c r="AR8" s="318"/>
      <c r="AS8" s="18"/>
      <c r="AT8" s="318" t="s">
        <v>12</v>
      </c>
      <c r="AU8" s="318"/>
      <c r="AV8" s="318"/>
      <c r="AW8" s="18"/>
      <c r="AX8" s="318" t="s">
        <v>13</v>
      </c>
      <c r="AY8" s="318"/>
      <c r="AZ8" s="319"/>
      <c r="BD8" s="316" t="s">
        <v>10</v>
      </c>
      <c r="BE8" s="316"/>
      <c r="BF8" s="316"/>
      <c r="BG8" s="131"/>
      <c r="BH8" s="316" t="s">
        <v>11</v>
      </c>
      <c r="BI8" s="316"/>
      <c r="BJ8" s="316"/>
      <c r="BK8" s="2"/>
      <c r="BL8" s="316" t="s">
        <v>12</v>
      </c>
      <c r="BM8" s="316"/>
      <c r="BN8" s="316"/>
      <c r="BO8" s="2"/>
      <c r="BP8" s="316" t="s">
        <v>13</v>
      </c>
      <c r="BQ8" s="316"/>
      <c r="BR8" s="316"/>
    </row>
    <row r="9" spans="1:70">
      <c r="A9" s="194"/>
      <c r="B9" s="233"/>
      <c r="C9" s="2"/>
      <c r="D9" s="2"/>
      <c r="E9" s="2"/>
      <c r="F9" s="151" t="s">
        <v>4</v>
      </c>
      <c r="G9" s="152" t="s">
        <v>5</v>
      </c>
      <c r="H9" s="152" t="s">
        <v>6</v>
      </c>
      <c r="I9" s="131"/>
      <c r="J9" s="151" t="s">
        <v>4</v>
      </c>
      <c r="K9" s="152" t="s">
        <v>5</v>
      </c>
      <c r="L9" s="152" t="s">
        <v>6</v>
      </c>
      <c r="M9" s="2"/>
      <c r="N9" s="151" t="s">
        <v>4</v>
      </c>
      <c r="O9" s="152" t="s">
        <v>5</v>
      </c>
      <c r="P9" s="152" t="s">
        <v>6</v>
      </c>
      <c r="Q9" s="2"/>
      <c r="R9" s="151" t="s">
        <v>4</v>
      </c>
      <c r="S9" s="152" t="s">
        <v>5</v>
      </c>
      <c r="T9" s="152" t="s">
        <v>6</v>
      </c>
      <c r="V9" s="246" t="s">
        <v>5</v>
      </c>
      <c r="W9" s="152" t="s">
        <v>4</v>
      </c>
      <c r="X9" s="152" t="s">
        <v>6</v>
      </c>
      <c r="Y9" s="2"/>
      <c r="Z9" s="151" t="s">
        <v>5</v>
      </c>
      <c r="AA9" s="152" t="s">
        <v>4</v>
      </c>
      <c r="AB9" s="152" t="s">
        <v>6</v>
      </c>
      <c r="AC9" s="2"/>
      <c r="AD9" s="151" t="s">
        <v>5</v>
      </c>
      <c r="AE9" s="152" t="s">
        <v>4</v>
      </c>
      <c r="AF9" s="152" t="s">
        <v>6</v>
      </c>
      <c r="AG9" s="2"/>
      <c r="AH9" s="151" t="s">
        <v>5</v>
      </c>
      <c r="AI9" s="152" t="s">
        <v>4</v>
      </c>
      <c r="AJ9" s="247" t="s">
        <v>6</v>
      </c>
      <c r="AK9" s="257"/>
      <c r="AL9" s="246" t="s">
        <v>22</v>
      </c>
      <c r="AM9" s="152" t="s">
        <v>23</v>
      </c>
      <c r="AN9" s="152" t="s">
        <v>24</v>
      </c>
      <c r="AO9" s="131"/>
      <c r="AP9" s="151" t="s">
        <v>22</v>
      </c>
      <c r="AQ9" s="152" t="s">
        <v>23</v>
      </c>
      <c r="AR9" s="152" t="s">
        <v>24</v>
      </c>
      <c r="AS9" s="2"/>
      <c r="AT9" s="151" t="s">
        <v>22</v>
      </c>
      <c r="AU9" s="152" t="s">
        <v>23</v>
      </c>
      <c r="AV9" s="152" t="s">
        <v>24</v>
      </c>
      <c r="AW9" s="2"/>
      <c r="AX9" s="151" t="s">
        <v>22</v>
      </c>
      <c r="AY9" s="152" t="s">
        <v>23</v>
      </c>
      <c r="AZ9" s="247" t="s">
        <v>24</v>
      </c>
      <c r="BD9" s="151" t="s">
        <v>5</v>
      </c>
      <c r="BE9" s="152" t="s">
        <v>4</v>
      </c>
      <c r="BF9" s="152" t="s">
        <v>6</v>
      </c>
      <c r="BG9" s="2"/>
      <c r="BH9" s="151" t="s">
        <v>5</v>
      </c>
      <c r="BI9" s="152" t="s">
        <v>4</v>
      </c>
      <c r="BJ9" s="152" t="s">
        <v>6</v>
      </c>
      <c r="BK9" s="2"/>
      <c r="BL9" s="151" t="s">
        <v>5</v>
      </c>
      <c r="BM9" s="152" t="s">
        <v>4</v>
      </c>
      <c r="BN9" s="152" t="s">
        <v>6</v>
      </c>
      <c r="BO9" s="2"/>
      <c r="BP9" s="151" t="s">
        <v>5</v>
      </c>
      <c r="BQ9" s="152" t="s">
        <v>4</v>
      </c>
      <c r="BR9" s="152" t="s">
        <v>6</v>
      </c>
    </row>
    <row r="10" spans="1:70">
      <c r="A10" s="194" t="s">
        <v>251</v>
      </c>
      <c r="B10" s="233"/>
      <c r="C10" s="14" t="s">
        <v>32</v>
      </c>
      <c r="D10" s="2"/>
      <c r="E10" s="2"/>
      <c r="F10" s="14">
        <v>20.3156</v>
      </c>
      <c r="G10" s="14">
        <v>-24.618099999999998</v>
      </c>
      <c r="H10" s="14">
        <v>4.4471999999999996</v>
      </c>
      <c r="I10" s="124"/>
      <c r="J10" s="124">
        <v>20.315799999999999</v>
      </c>
      <c r="K10" s="14">
        <v>-24.618099999999998</v>
      </c>
      <c r="L10" s="14">
        <v>4.4452999999999996</v>
      </c>
      <c r="M10" s="14"/>
      <c r="N10" s="14">
        <v>20.316299999999998</v>
      </c>
      <c r="O10" s="14">
        <v>-24.618300000000001</v>
      </c>
      <c r="P10" s="14">
        <v>4.4421999999999997</v>
      </c>
      <c r="Q10" s="14"/>
      <c r="R10" s="14">
        <v>20.3171</v>
      </c>
      <c r="S10" s="14">
        <v>-24.619399999999999</v>
      </c>
      <c r="T10" s="14">
        <v>4.4400000000000004</v>
      </c>
      <c r="V10" s="27">
        <f t="array" ref="V10:X10">MMULT(BD10:BF10,TRANSPOSE($AH$3:$AJ$5))</f>
        <v>-24.617899486103553</v>
      </c>
      <c r="W10" s="14">
        <v>20.315640965204651</v>
      </c>
      <c r="X10" s="14">
        <v>4.4481228364909322</v>
      </c>
      <c r="Y10" s="14"/>
      <c r="Z10" s="14">
        <f t="array" ref="Z10:AB10">MMULT(BH10:BJ10,TRANSPOSE($AH$3:$AJ$5))</f>
        <v>-24.617899571770131</v>
      </c>
      <c r="AA10" s="14">
        <v>20.315840947702874</v>
      </c>
      <c r="AB10" s="14">
        <v>4.4462228346486405</v>
      </c>
      <c r="AC10" s="2"/>
      <c r="AD10" s="2">
        <f t="array" ref="AD10:AF10">MMULT(BL10:BN10,TRANSPOSE($AH$3:$AJ$5))</f>
        <v>-24.61809971154192</v>
      </c>
      <c r="AE10" s="2">
        <v>20.316340919147347</v>
      </c>
      <c r="AF10" s="2">
        <v>4.4431228390604449</v>
      </c>
      <c r="AG10" s="2"/>
      <c r="AH10" s="14">
        <f t="array" ref="AH10:AJ10">MMULT(BP10:BR10,TRANSPOSE($AH$3:$AJ$5))</f>
        <v>-24.619199810734795</v>
      </c>
      <c r="AI10" s="14">
        <v>20.317140898882137</v>
      </c>
      <c r="AJ10" s="28">
        <v>4.4409228812877171</v>
      </c>
      <c r="AL10" s="27">
        <f t="array" ref="AL10:AN10">MMULT(V10:X10,$V$3:$X$5)</f>
        <v>22.095221464696259</v>
      </c>
      <c r="AM10" s="124">
        <v>13.531355317423111</v>
      </c>
      <c r="AN10" s="124">
        <v>19.163915346379046</v>
      </c>
      <c r="AO10" s="131"/>
      <c r="AP10" s="27">
        <f t="array" ref="AP10:AR10">MMULT(Z10:AB10,$V$3:$X$5)</f>
        <v>22.096492521522926</v>
      </c>
      <c r="AQ10" s="124">
        <v>13.530275602802114</v>
      </c>
      <c r="AR10" s="124">
        <v>19.162983342683653</v>
      </c>
      <c r="AS10" s="2"/>
      <c r="AT10" s="27">
        <f t="array" ref="AT10:AV10">MMULT(AD10:AF10,$V$3:$X$5)</f>
        <v>22.09877214922145</v>
      </c>
      <c r="AU10" s="124">
        <v>13.528601557121631</v>
      </c>
      <c r="AV10" s="124">
        <v>19.161604622757</v>
      </c>
      <c r="AW10" s="2"/>
      <c r="AX10" s="27">
        <f t="array" ref="AX10:AZ10">MMULT(AH10:AJ10,$V$3:$X$5)</f>
        <v>22.101205817249273</v>
      </c>
      <c r="AY10" s="124">
        <v>13.527977527640356</v>
      </c>
      <c r="AZ10" s="124">
        <v>19.160989930029785</v>
      </c>
      <c r="BD10" s="14">
        <f>G10</f>
        <v>-24.618099999999998</v>
      </c>
      <c r="BE10" s="14">
        <f>F10</f>
        <v>20.3156</v>
      </c>
      <c r="BF10" s="14">
        <f>H10</f>
        <v>4.4471999999999996</v>
      </c>
      <c r="BG10" s="2"/>
      <c r="BH10" s="14">
        <f>K10</f>
        <v>-24.618099999999998</v>
      </c>
      <c r="BI10" s="14">
        <f>J10</f>
        <v>20.315799999999999</v>
      </c>
      <c r="BJ10" s="14">
        <f>L10</f>
        <v>4.4452999999999996</v>
      </c>
      <c r="BK10" s="2"/>
      <c r="BL10" s="14">
        <f>O10</f>
        <v>-24.618300000000001</v>
      </c>
      <c r="BM10" s="14">
        <f>N10</f>
        <v>20.316299999999998</v>
      </c>
      <c r="BN10" s="14">
        <f>P10</f>
        <v>4.4421999999999997</v>
      </c>
      <c r="BO10" s="2"/>
      <c r="BP10" s="14">
        <f>S10</f>
        <v>-24.619399999999999</v>
      </c>
      <c r="BQ10" s="14">
        <f>R10</f>
        <v>20.3171</v>
      </c>
      <c r="BR10" s="14">
        <f>T10</f>
        <v>4.4400000000000004</v>
      </c>
    </row>
    <row r="11" spans="1:70">
      <c r="A11" s="194"/>
      <c r="B11" s="233"/>
      <c r="C11" s="14" t="s">
        <v>159</v>
      </c>
      <c r="D11" s="2"/>
      <c r="E11" s="2"/>
      <c r="F11" s="14"/>
      <c r="G11" s="124"/>
      <c r="H11" s="124"/>
      <c r="I11" s="124"/>
      <c r="J11" s="124"/>
      <c r="K11" s="14"/>
      <c r="L11" s="14"/>
      <c r="M11" s="14"/>
      <c r="N11" s="14"/>
      <c r="O11" s="14"/>
      <c r="P11" s="14"/>
      <c r="Q11" s="14"/>
      <c r="R11" s="14"/>
      <c r="S11" s="14"/>
      <c r="T11" s="14"/>
      <c r="V11" s="27"/>
      <c r="W11" s="14"/>
      <c r="X11" s="14"/>
      <c r="Y11" s="14"/>
      <c r="Z11" s="14"/>
      <c r="AA11" s="14"/>
      <c r="AB11" s="14"/>
      <c r="AC11" s="2"/>
      <c r="AD11" s="2"/>
      <c r="AE11" s="2"/>
      <c r="AF11" s="2"/>
      <c r="AG11" s="2"/>
      <c r="AH11" s="14"/>
      <c r="AI11" s="14"/>
      <c r="AJ11" s="28"/>
      <c r="AL11" s="20"/>
      <c r="AM11" s="2"/>
      <c r="AN11" s="2"/>
      <c r="AO11" s="2"/>
      <c r="AP11" s="2"/>
      <c r="AQ11" s="2"/>
      <c r="AR11" s="2"/>
      <c r="AS11" s="2"/>
      <c r="AT11" s="2"/>
      <c r="AU11" s="2"/>
      <c r="AV11" s="2"/>
      <c r="AW11" s="2"/>
      <c r="AX11" s="2"/>
      <c r="AY11" s="2"/>
      <c r="AZ11" s="21"/>
      <c r="BD11" s="2"/>
      <c r="BE11" s="2"/>
      <c r="BF11" s="2"/>
      <c r="BG11" s="2"/>
      <c r="BH11" s="2"/>
      <c r="BI11" s="2"/>
      <c r="BJ11" s="2"/>
      <c r="BK11" s="2"/>
      <c r="BL11" s="2"/>
      <c r="BM11" s="2"/>
      <c r="BN11" s="2"/>
      <c r="BO11" s="2"/>
      <c r="BP11" s="2"/>
      <c r="BQ11" s="2"/>
      <c r="BR11" s="2"/>
    </row>
    <row r="12" spans="1:70">
      <c r="A12" s="194">
        <v>7337</v>
      </c>
      <c r="B12" s="233" t="s">
        <v>256</v>
      </c>
      <c r="C12" s="14" t="s">
        <v>139</v>
      </c>
      <c r="D12" s="2"/>
      <c r="E12" s="2"/>
      <c r="F12" s="14">
        <v>17.7197</v>
      </c>
      <c r="G12" s="14">
        <v>-37.827599999999997</v>
      </c>
      <c r="H12" s="14">
        <v>-3.3999999999999998E-3</v>
      </c>
      <c r="I12" s="124"/>
      <c r="J12" s="124">
        <v>17.7196</v>
      </c>
      <c r="K12" s="14">
        <v>-37.829099999999997</v>
      </c>
      <c r="L12" s="14">
        <v>-3.3999999999999998E-3</v>
      </c>
      <c r="M12" s="14"/>
      <c r="N12" s="14">
        <v>17.72</v>
      </c>
      <c r="O12" s="14">
        <v>-37.8292</v>
      </c>
      <c r="P12" s="14">
        <v>-3.2000000000000002E-3</v>
      </c>
      <c r="Q12" s="14"/>
      <c r="R12" s="14">
        <v>17.720700000000001</v>
      </c>
      <c r="S12" s="14">
        <v>-37.829900000000002</v>
      </c>
      <c r="T12" s="14">
        <v>-3.3E-3</v>
      </c>
      <c r="V12" s="27">
        <f t="array" ref="V12:X12">MMULT(BD12:BF12,TRANSPOSE($AH$3:$AJ$5))</f>
        <v>-37.827600153298086</v>
      </c>
      <c r="W12" s="14">
        <v>17.719699968681034</v>
      </c>
      <c r="X12" s="14">
        <v>-1.8576658723888416E-3</v>
      </c>
      <c r="Y12" s="14"/>
      <c r="Z12" s="14">
        <f t="array" ref="Z12:AB12">MMULT(BH12:BJ12,TRANSPOSE($AH$3:$AJ$5))</f>
        <v>-37.829100153298086</v>
      </c>
      <c r="AA12" s="14">
        <v>17.719599968681035</v>
      </c>
      <c r="AB12" s="14">
        <v>-1.8575973197343327E-3</v>
      </c>
      <c r="AC12" s="2"/>
      <c r="AD12" s="14">
        <f t="array" ref="AD12:AF12">MMULT(BL12:BN12,TRANSPOSE($AH$3:$AJ$5))</f>
        <v>-37.829200144280549</v>
      </c>
      <c r="AE12" s="14">
        <v>17.719999970523325</v>
      </c>
      <c r="AF12" s="14">
        <v>-1.6575964955510747E-3</v>
      </c>
      <c r="AG12" s="2"/>
      <c r="AH12" s="14">
        <f t="array" ref="AH12:AJ12">MMULT(BP12:BR12,TRANSPOSE($AH$3:$AJ$5))</f>
        <v>-37.829900148789321</v>
      </c>
      <c r="AI12" s="14">
        <v>17.720699969602183</v>
      </c>
      <c r="AJ12" s="28">
        <v>-1.7575713822023931E-3</v>
      </c>
      <c r="AK12" s="3"/>
      <c r="AL12" s="27">
        <f t="array" ref="AL12:AN12">MMULT(V12:X12,$V$3:$X$5)</f>
        <v>32.278248038429261</v>
      </c>
      <c r="AM12" s="124">
        <v>22.213460741318826</v>
      </c>
      <c r="AN12" s="124">
        <v>14.477291502636788</v>
      </c>
      <c r="AO12" s="2"/>
      <c r="AP12" s="27">
        <f t="array" ref="AP12:AR12">MMULT(Z12:AB12,$V$3:$X$5)</f>
        <v>32.279175232354206</v>
      </c>
      <c r="AQ12" s="124">
        <v>22.214641267360928</v>
      </c>
      <c r="AR12" s="124">
        <v>14.477209834441229</v>
      </c>
      <c r="AS12" s="2"/>
      <c r="AT12" s="27">
        <f t="array" ref="AT12:AV12">MMULT(AD12:AF12,$V$3:$X$5)</f>
        <v>32.279291182308206</v>
      </c>
      <c r="AU12" s="124">
        <v>22.214673965124682</v>
      </c>
      <c r="AV12" s="124">
        <v>14.477651972954023</v>
      </c>
      <c r="AW12" s="2"/>
      <c r="AX12" s="27">
        <f t="array" ref="AX12:AZ12">MMULT(AH12:AJ12,$V$3:$X$5)</f>
        <v>32.280114217905357</v>
      </c>
      <c r="AY12" s="124">
        <v>22.214893265299775</v>
      </c>
      <c r="AZ12" s="124">
        <v>14.478166287876718</v>
      </c>
      <c r="BD12" s="14">
        <f>G12</f>
        <v>-37.827599999999997</v>
      </c>
      <c r="BE12" s="14">
        <f>F12</f>
        <v>17.7197</v>
      </c>
      <c r="BF12" s="14">
        <f>H12</f>
        <v>-3.3999999999999998E-3</v>
      </c>
      <c r="BG12" s="2"/>
      <c r="BH12" s="14">
        <f>K12</f>
        <v>-37.829099999999997</v>
      </c>
      <c r="BI12" s="14">
        <f>J12</f>
        <v>17.7196</v>
      </c>
      <c r="BJ12" s="14">
        <f>L12</f>
        <v>-3.3999999999999998E-3</v>
      </c>
      <c r="BK12" s="2"/>
      <c r="BL12" s="14">
        <f>O12</f>
        <v>-37.8292</v>
      </c>
      <c r="BM12" s="14">
        <f>N12</f>
        <v>17.72</v>
      </c>
      <c r="BN12" s="14">
        <f>P12</f>
        <v>-3.2000000000000002E-3</v>
      </c>
      <c r="BO12" s="2"/>
      <c r="BP12" s="14">
        <f>S12</f>
        <v>-37.829900000000002</v>
      </c>
      <c r="BQ12" s="14">
        <f>R12</f>
        <v>17.720700000000001</v>
      </c>
      <c r="BR12" s="14">
        <f>T12</f>
        <v>-3.3E-3</v>
      </c>
    </row>
    <row r="13" spans="1:70">
      <c r="A13" s="194">
        <v>7336</v>
      </c>
      <c r="B13" s="233" t="s">
        <v>257</v>
      </c>
      <c r="C13" s="2" t="s">
        <v>252</v>
      </c>
      <c r="D13" s="2"/>
      <c r="E13" s="2"/>
      <c r="F13" s="14">
        <v>94.454400000000007</v>
      </c>
      <c r="G13" s="124">
        <v>-41.234999999999999</v>
      </c>
      <c r="H13" s="124">
        <v>6.6779999999999999</v>
      </c>
      <c r="I13" s="124"/>
      <c r="J13" s="124">
        <v>94.456599999999995</v>
      </c>
      <c r="K13" s="14">
        <v>-41.235999999999997</v>
      </c>
      <c r="L13" s="14">
        <v>6.6794000000000002</v>
      </c>
      <c r="M13" s="14"/>
      <c r="N13" s="14">
        <v>94.458699999999993</v>
      </c>
      <c r="O13" s="14">
        <v>-41.234200000000001</v>
      </c>
      <c r="P13" s="14">
        <v>6.6782000000000004</v>
      </c>
      <c r="Q13" s="14"/>
      <c r="R13" s="14">
        <v>94.462199999999996</v>
      </c>
      <c r="S13" s="14">
        <v>-41.232900000000001</v>
      </c>
      <c r="T13" s="14">
        <v>6.6794000000000002</v>
      </c>
      <c r="V13" s="27">
        <f t="array" ref="V13:X13">MMULT(BD13:BF13,TRANSPOSE($AH$3:$AJ$5))</f>
        <v>-41.234698904524095</v>
      </c>
      <c r="W13" s="14">
        <v>94.454461514129491</v>
      </c>
      <c r="X13" s="14">
        <v>6.6789891272472124</v>
      </c>
      <c r="Y13" s="14"/>
      <c r="Z13" s="14">
        <f t="array" ref="Z13:AB13">MMULT(BH13:BJ13,TRANSPOSE($AH$3:$AJ$5))</f>
        <v>-41.235698841401351</v>
      </c>
      <c r="AA13" s="14">
        <v>94.456661527025531</v>
      </c>
      <c r="AB13" s="14">
        <v>6.6803891520696732</v>
      </c>
      <c r="AC13" s="2"/>
      <c r="AD13" s="14">
        <f t="array" ref="AD13:AF13">MMULT(BL13:BN13,TRANSPOSE($AH$3:$AJ$5))</f>
        <v>-41.233898895506556</v>
      </c>
      <c r="AE13" s="14">
        <v>94.458761515971773</v>
      </c>
      <c r="AF13" s="14">
        <v>6.6791890515677972</v>
      </c>
      <c r="AG13" s="2"/>
      <c r="AH13" s="14">
        <f t="array" ref="AH13:AJ13">MMULT(BP13:BR13,TRANSPOSE($AH$3:$AJ$5))</f>
        <v>-41.232598841401355</v>
      </c>
      <c r="AI13" s="14">
        <v>94.462261527025532</v>
      </c>
      <c r="AJ13" s="28">
        <v>6.6803889607137128</v>
      </c>
      <c r="AK13" s="3"/>
      <c r="AL13" s="27">
        <f t="array" ref="AL13:AN13">MMULT(V13:X13,$V$3:$X$5)</f>
        <v>64.039490803065704</v>
      </c>
      <c r="AM13" s="124">
        <v>-0.29869787068479692</v>
      </c>
      <c r="AN13" s="124">
        <v>81.027211396535975</v>
      </c>
      <c r="AO13" s="2"/>
      <c r="AP13" s="27">
        <f t="array" ref="AP13:AR13">MMULT(Z13:AB13,$V$3:$X$5)</f>
        <v>64.040233049534237</v>
      </c>
      <c r="AQ13" s="124">
        <v>-0.29801637997307662</v>
      </c>
      <c r="AR13" s="124">
        <v>81.029816130801606</v>
      </c>
      <c r="AS13" s="2"/>
      <c r="AT13" s="27">
        <f t="array" ref="AT13:AV13">MMULT(AD13:AF13,$V$3:$X$5)</f>
        <v>64.040737666421379</v>
      </c>
      <c r="AU13" s="124">
        <v>-0.30080687551691598</v>
      </c>
      <c r="AV13" s="124">
        <v>81.030840091948392</v>
      </c>
      <c r="AW13" s="2"/>
      <c r="AX13" s="27">
        <f t="array" ref="AX13:AZ13">MMULT(AH13:AJ13,$V$3:$X$5)</f>
        <v>64.040686586382989</v>
      </c>
      <c r="AY13" s="124">
        <v>-0.30246934570179684</v>
      </c>
      <c r="AZ13" s="124">
        <v>81.034391652693387</v>
      </c>
      <c r="BD13" s="14">
        <f>G13</f>
        <v>-41.234999999999999</v>
      </c>
      <c r="BE13" s="14">
        <f>F13</f>
        <v>94.454400000000007</v>
      </c>
      <c r="BF13" s="14">
        <f>H13</f>
        <v>6.6779999999999999</v>
      </c>
      <c r="BG13" s="2"/>
      <c r="BH13" s="14">
        <f>K13</f>
        <v>-41.235999999999997</v>
      </c>
      <c r="BI13" s="14">
        <f>J13</f>
        <v>94.456599999999995</v>
      </c>
      <c r="BJ13" s="14">
        <f>L13</f>
        <v>6.6794000000000002</v>
      </c>
      <c r="BK13" s="2"/>
      <c r="BL13" s="14">
        <f>O13</f>
        <v>-41.234200000000001</v>
      </c>
      <c r="BM13" s="14">
        <f>N13</f>
        <v>94.458699999999993</v>
      </c>
      <c r="BN13" s="14">
        <f>P13</f>
        <v>6.6782000000000004</v>
      </c>
      <c r="BO13" s="2"/>
      <c r="BP13" s="14">
        <f>S13</f>
        <v>-41.232900000000001</v>
      </c>
      <c r="BQ13" s="14">
        <f>R13</f>
        <v>94.462199999999996</v>
      </c>
      <c r="BR13" s="14">
        <f>T13</f>
        <v>6.6794000000000002</v>
      </c>
    </row>
    <row r="14" spans="1:70">
      <c r="A14" s="194"/>
      <c r="B14" s="233"/>
      <c r="C14" s="2"/>
      <c r="D14" s="2"/>
      <c r="E14" s="2"/>
      <c r="F14" s="14"/>
      <c r="G14" s="124"/>
      <c r="H14" s="124"/>
      <c r="I14" s="124"/>
      <c r="J14" s="124"/>
      <c r="K14" s="14"/>
      <c r="L14" s="14"/>
      <c r="M14" s="14"/>
      <c r="N14" s="14"/>
      <c r="O14" s="14"/>
      <c r="P14" s="14"/>
      <c r="Q14" s="14"/>
      <c r="R14" s="14"/>
      <c r="S14" s="14"/>
      <c r="T14" s="14"/>
      <c r="V14" s="27"/>
      <c r="W14" s="14"/>
      <c r="X14" s="14"/>
      <c r="Y14" s="2"/>
      <c r="Z14" s="2"/>
      <c r="AA14" s="2"/>
      <c r="AB14" s="2"/>
      <c r="AC14" s="2"/>
      <c r="AD14" s="2"/>
      <c r="AE14" s="2"/>
      <c r="AF14" s="2"/>
      <c r="AG14" s="2"/>
      <c r="AH14" s="2"/>
      <c r="AI14" s="2"/>
      <c r="AJ14" s="21"/>
      <c r="AL14" s="20"/>
      <c r="AM14" s="2"/>
      <c r="AN14" s="2"/>
      <c r="AO14" s="2"/>
      <c r="AP14" s="2"/>
      <c r="AQ14" s="2"/>
      <c r="AR14" s="2"/>
      <c r="AS14" s="2"/>
      <c r="AT14" s="2"/>
      <c r="AU14" s="2"/>
      <c r="AV14" s="2"/>
      <c r="AW14" s="2"/>
      <c r="AX14" s="2"/>
      <c r="AY14" s="2"/>
      <c r="AZ14" s="21"/>
      <c r="BD14" s="2"/>
      <c r="BE14" s="2"/>
      <c r="BF14" s="2"/>
      <c r="BG14" s="2"/>
      <c r="BH14" s="2"/>
      <c r="BI14" s="2"/>
      <c r="BJ14" s="2"/>
      <c r="BK14" s="2"/>
      <c r="BL14" s="2"/>
      <c r="BM14" s="2"/>
      <c r="BN14" s="2"/>
      <c r="BO14" s="2"/>
      <c r="BP14" s="2"/>
      <c r="BQ14" s="2"/>
      <c r="BR14" s="2"/>
    </row>
    <row r="15" spans="1:70">
      <c r="B15" s="233" t="s">
        <v>250</v>
      </c>
      <c r="C15" s="2" t="s">
        <v>21</v>
      </c>
      <c r="D15" s="2"/>
      <c r="E15" s="2"/>
      <c r="F15" s="14"/>
      <c r="G15" s="124"/>
      <c r="H15" s="124"/>
      <c r="I15" s="124"/>
      <c r="J15" s="124">
        <v>100.8202</v>
      </c>
      <c r="K15" s="14">
        <v>-58.270400000000002</v>
      </c>
      <c r="L15" s="14">
        <v>2.1899000000000002</v>
      </c>
      <c r="M15" s="14"/>
      <c r="N15" s="151" t="s">
        <v>206</v>
      </c>
      <c r="O15" s="151" t="s">
        <v>206</v>
      </c>
      <c r="P15" s="151" t="s">
        <v>206</v>
      </c>
      <c r="Q15" s="151"/>
      <c r="R15" s="151" t="s">
        <v>206</v>
      </c>
      <c r="S15" s="151" t="s">
        <v>206</v>
      </c>
      <c r="T15" s="151" t="s">
        <v>206</v>
      </c>
      <c r="V15" s="27">
        <f t="array" ref="V15:X15">MMULT(BD15:BF15,TRANSPOSE($AH$3:$AJ$5))</f>
        <v>0</v>
      </c>
      <c r="W15" s="14">
        <v>0</v>
      </c>
      <c r="X15" s="14">
        <v>0</v>
      </c>
      <c r="Y15" s="2"/>
      <c r="Z15" s="14">
        <f t="array" ref="Z15:AB15">MMULT(BH15:BJ15,TRANSPOSE($AH$3:$AJ$5))</f>
        <v>-58.270301262506337</v>
      </c>
      <c r="AA15" s="14">
        <v>100.82022017217612</v>
      </c>
      <c r="AB15" s="14">
        <v>2.1915985754689546</v>
      </c>
      <c r="AC15" s="2"/>
      <c r="AD15" s="197" t="str">
        <f t="shared" ref="AD15:AF16" si="1">BL15</f>
        <v>-</v>
      </c>
      <c r="AE15" s="197" t="str">
        <f t="shared" si="1"/>
        <v>-</v>
      </c>
      <c r="AF15" s="197" t="str">
        <f t="shared" si="1"/>
        <v>-</v>
      </c>
      <c r="AG15" s="2"/>
      <c r="AH15" s="197" t="str">
        <f t="shared" ref="AH15:AJ16" si="2">BP15</f>
        <v>-</v>
      </c>
      <c r="AI15" s="197" t="str">
        <f t="shared" si="2"/>
        <v>-</v>
      </c>
      <c r="AJ15" s="259" t="str">
        <f t="shared" si="2"/>
        <v>-</v>
      </c>
      <c r="AK15" s="198"/>
      <c r="AL15" s="27">
        <f t="array" ref="AL15:AN15">MMULT(V15:X15,$V$3:$X$5)</f>
        <v>0</v>
      </c>
      <c r="AM15" s="124">
        <v>0</v>
      </c>
      <c r="AN15" s="124">
        <v>0</v>
      </c>
      <c r="AO15" s="2"/>
      <c r="AP15" s="27">
        <f t="array" ref="AP15:AR15">MMULT(Z15:AB15,$V$3:$X$5)</f>
        <v>80.660455790887227</v>
      </c>
      <c r="AQ15" s="124">
        <v>7.934208163796586</v>
      </c>
      <c r="AR15" s="124">
        <v>83.641419891852536</v>
      </c>
      <c r="AS15" s="2"/>
      <c r="AT15" s="2"/>
      <c r="AU15" s="2"/>
      <c r="AV15" s="2"/>
      <c r="AW15" s="2"/>
      <c r="AX15" s="2"/>
      <c r="AY15" s="2"/>
      <c r="AZ15" s="21"/>
      <c r="BD15" s="14">
        <f>G15</f>
        <v>0</v>
      </c>
      <c r="BE15" s="14">
        <f>F15</f>
        <v>0</v>
      </c>
      <c r="BF15" s="14">
        <f>H15</f>
        <v>0</v>
      </c>
      <c r="BG15" s="2"/>
      <c r="BH15" s="14">
        <f>K15</f>
        <v>-58.270400000000002</v>
      </c>
      <c r="BI15" s="14">
        <f>J15</f>
        <v>100.8202</v>
      </c>
      <c r="BJ15" s="14">
        <f>L15</f>
        <v>2.1899000000000002</v>
      </c>
      <c r="BK15" s="2"/>
      <c r="BL15" s="14" t="str">
        <f>O15</f>
        <v>-</v>
      </c>
      <c r="BM15" s="14" t="str">
        <f>N15</f>
        <v>-</v>
      </c>
      <c r="BN15" s="14" t="str">
        <f>P15</f>
        <v>-</v>
      </c>
      <c r="BO15" s="2"/>
      <c r="BP15" s="14" t="str">
        <f>S15</f>
        <v>-</v>
      </c>
      <c r="BQ15" s="14" t="str">
        <f>R15</f>
        <v>-</v>
      </c>
      <c r="BR15" s="14" t="str">
        <f>T15</f>
        <v>-</v>
      </c>
    </row>
    <row r="16" spans="1:70" ht="15.75" thickBot="1">
      <c r="A16" s="194"/>
      <c r="B16" s="233"/>
      <c r="C16" s="2" t="s">
        <v>37</v>
      </c>
      <c r="D16" s="2"/>
      <c r="E16" s="2"/>
      <c r="F16" s="14"/>
      <c r="G16" s="124"/>
      <c r="H16" s="124"/>
      <c r="I16" s="124"/>
      <c r="J16" s="124"/>
      <c r="K16" s="14"/>
      <c r="L16" s="14"/>
      <c r="M16" s="14"/>
      <c r="N16" s="151" t="s">
        <v>206</v>
      </c>
      <c r="O16" s="151" t="s">
        <v>206</v>
      </c>
      <c r="P16" s="151" t="s">
        <v>206</v>
      </c>
      <c r="Q16" s="151"/>
      <c r="R16" s="151" t="s">
        <v>206</v>
      </c>
      <c r="S16" s="151" t="s">
        <v>206</v>
      </c>
      <c r="T16" s="151" t="s">
        <v>206</v>
      </c>
      <c r="V16" s="45">
        <f t="array" ref="V16:X16">MMULT(BD16:BF16,TRANSPOSE($AH$3:$AJ$5))</f>
        <v>0</v>
      </c>
      <c r="W16" s="29">
        <v>0</v>
      </c>
      <c r="X16" s="29">
        <v>0</v>
      </c>
      <c r="Y16" s="23"/>
      <c r="Z16" s="29">
        <f t="array" ref="Z16:AB16">MMULT(BH16:BJ16,TRANSPOSE($AH$3:$AJ$5))</f>
        <v>0</v>
      </c>
      <c r="AA16" s="29">
        <v>0</v>
      </c>
      <c r="AB16" s="29">
        <v>0</v>
      </c>
      <c r="AC16" s="23"/>
      <c r="AD16" s="260" t="str">
        <f t="shared" si="1"/>
        <v>-</v>
      </c>
      <c r="AE16" s="260" t="str">
        <f t="shared" si="1"/>
        <v>-</v>
      </c>
      <c r="AF16" s="260" t="str">
        <f t="shared" si="1"/>
        <v>-</v>
      </c>
      <c r="AG16" s="23"/>
      <c r="AH16" s="260" t="str">
        <f t="shared" si="2"/>
        <v>-</v>
      </c>
      <c r="AI16" s="260" t="str">
        <f t="shared" si="2"/>
        <v>-</v>
      </c>
      <c r="AJ16" s="261" t="str">
        <f t="shared" si="2"/>
        <v>-</v>
      </c>
      <c r="AK16" s="258"/>
      <c r="AL16" s="27">
        <f t="array" ref="AL16:AN16">MMULT(V16:X16,$V$3:$X$5)</f>
        <v>0</v>
      </c>
      <c r="AM16" s="124">
        <v>0</v>
      </c>
      <c r="AN16" s="124">
        <v>0</v>
      </c>
      <c r="AO16" s="23"/>
      <c r="AP16" s="27">
        <f t="array" ref="AP16:AR16">MMULT(Z16:AB16,$V$3:$X$5)</f>
        <v>0</v>
      </c>
      <c r="AQ16" s="124">
        <v>0</v>
      </c>
      <c r="AR16" s="124">
        <v>0</v>
      </c>
      <c r="AS16" s="23"/>
      <c r="AT16" s="23"/>
      <c r="AU16" s="23"/>
      <c r="AV16" s="23"/>
      <c r="AW16" s="23"/>
      <c r="AX16" s="23"/>
      <c r="AY16" s="23"/>
      <c r="AZ16" s="24"/>
      <c r="BD16" s="14">
        <f>G16</f>
        <v>0</v>
      </c>
      <c r="BE16" s="14">
        <f>F16</f>
        <v>0</v>
      </c>
      <c r="BF16" s="14">
        <f>H16</f>
        <v>0</v>
      </c>
      <c r="BG16" s="2"/>
      <c r="BH16" s="14">
        <f>K16</f>
        <v>0</v>
      </c>
      <c r="BI16" s="14">
        <f>J16</f>
        <v>0</v>
      </c>
      <c r="BJ16" s="14">
        <f>L16</f>
        <v>0</v>
      </c>
      <c r="BK16" s="2"/>
      <c r="BL16" s="14" t="str">
        <f>O16</f>
        <v>-</v>
      </c>
      <c r="BM16" s="14" t="str">
        <f>N16</f>
        <v>-</v>
      </c>
      <c r="BN16" s="14" t="str">
        <f>P16</f>
        <v>-</v>
      </c>
      <c r="BO16" s="2"/>
      <c r="BP16" s="14" t="str">
        <f>S16</f>
        <v>-</v>
      </c>
      <c r="BQ16" s="14" t="str">
        <f>R16</f>
        <v>-</v>
      </c>
      <c r="BR16" s="14" t="str">
        <f>T16</f>
        <v>-</v>
      </c>
    </row>
    <row r="17" spans="1:45">
      <c r="B17" s="229"/>
      <c r="C17" s="7"/>
      <c r="D17" s="7"/>
      <c r="E17" s="7"/>
      <c r="F17" s="16"/>
      <c r="G17" s="129"/>
      <c r="H17" s="129"/>
      <c r="I17" s="134"/>
      <c r="J17" s="134"/>
      <c r="K17" s="7"/>
      <c r="L17" s="7"/>
      <c r="M17" s="7"/>
      <c r="N17" s="7"/>
      <c r="O17" s="7"/>
      <c r="P17" s="7"/>
      <c r="Q17" s="7"/>
      <c r="R17" s="7"/>
      <c r="S17" s="7"/>
      <c r="T17" s="7"/>
    </row>
    <row r="18" spans="1:45" ht="15.75" thickBot="1">
      <c r="B18" s="230"/>
      <c r="C18" s="36"/>
      <c r="D18" s="36"/>
      <c r="E18" s="36"/>
      <c r="F18" s="223"/>
      <c r="G18" s="224"/>
      <c r="H18" s="224"/>
      <c r="I18" s="225"/>
      <c r="J18" s="225"/>
      <c r="K18" s="36"/>
      <c r="L18" s="36"/>
      <c r="M18" s="36"/>
      <c r="N18" s="36"/>
      <c r="O18" s="36"/>
      <c r="P18" s="36"/>
      <c r="Q18" s="36"/>
      <c r="R18" s="36"/>
      <c r="S18" s="36"/>
      <c r="T18" s="36"/>
    </row>
    <row r="19" spans="1:45" ht="17.25" thickTop="1" thickBot="1">
      <c r="B19" s="235" t="s">
        <v>209</v>
      </c>
      <c r="F19" s="320" t="s">
        <v>61</v>
      </c>
      <c r="G19" s="320"/>
      <c r="H19" s="320"/>
      <c r="J19" s="321"/>
      <c r="K19" s="321"/>
      <c r="L19" s="321"/>
    </row>
    <row r="20" spans="1:45" ht="19.5" thickBot="1">
      <c r="B20" s="228" t="s">
        <v>169</v>
      </c>
      <c r="F20" s="316" t="s">
        <v>10</v>
      </c>
      <c r="G20" s="316"/>
      <c r="H20" s="316"/>
      <c r="J20" s="322" t="s">
        <v>11</v>
      </c>
      <c r="K20" s="323"/>
      <c r="L20" s="324"/>
      <c r="N20" s="322" t="s">
        <v>12</v>
      </c>
      <c r="O20" s="323"/>
      <c r="P20" s="324"/>
      <c r="R20" s="322" t="s">
        <v>13</v>
      </c>
      <c r="S20" s="323"/>
      <c r="T20" s="324"/>
      <c r="AM20" s="135"/>
      <c r="AN20" s="182" t="s">
        <v>110</v>
      </c>
      <c r="AO20" s="136"/>
    </row>
    <row r="21" spans="1:45" ht="15.75" thickBot="1">
      <c r="C21" s="2"/>
      <c r="D21" s="2"/>
      <c r="E21" s="2"/>
      <c r="F21" s="14" t="s">
        <v>22</v>
      </c>
      <c r="G21" s="124" t="s">
        <v>23</v>
      </c>
      <c r="H21" s="124" t="s">
        <v>24</v>
      </c>
      <c r="I21" s="131"/>
      <c r="J21" s="124" t="s">
        <v>22</v>
      </c>
      <c r="K21" s="14" t="s">
        <v>23</v>
      </c>
      <c r="L21" s="14" t="s">
        <v>24</v>
      </c>
      <c r="N21" s="14" t="s">
        <v>22</v>
      </c>
      <c r="O21" s="14" t="s">
        <v>23</v>
      </c>
      <c r="P21" s="14" t="s">
        <v>24</v>
      </c>
      <c r="R21" s="14" t="s">
        <v>22</v>
      </c>
      <c r="S21" s="14" t="s">
        <v>23</v>
      </c>
      <c r="T21" s="14" t="s">
        <v>24</v>
      </c>
      <c r="AM21" s="137" t="s">
        <v>22</v>
      </c>
      <c r="AN21" s="137" t="s">
        <v>23</v>
      </c>
      <c r="AO21" s="137" t="s">
        <v>24</v>
      </c>
      <c r="AP21" s="138" t="s">
        <v>111</v>
      </c>
      <c r="AQ21" s="138" t="s">
        <v>112</v>
      </c>
      <c r="AR21" s="138" t="s">
        <v>113</v>
      </c>
      <c r="AS21" s="142" t="s">
        <v>128</v>
      </c>
    </row>
    <row r="22" spans="1:45">
      <c r="A22" s="9" t="s">
        <v>251</v>
      </c>
      <c r="B22" s="227" t="s">
        <v>250</v>
      </c>
      <c r="C22" s="2" t="s">
        <v>21</v>
      </c>
      <c r="D22" s="2"/>
      <c r="E22" s="2"/>
      <c r="F22" s="124"/>
      <c r="G22" s="124"/>
      <c r="H22" s="124"/>
      <c r="I22" s="131"/>
      <c r="J22" s="124">
        <v>-3976113.3095999998</v>
      </c>
      <c r="K22" s="124">
        <v>3377937.4662000001</v>
      </c>
      <c r="L22" s="124">
        <v>3656688.8394999998</v>
      </c>
      <c r="N22" s="14"/>
      <c r="O22" s="14"/>
      <c r="P22" s="14"/>
      <c r="R22" s="14"/>
      <c r="S22" s="14"/>
      <c r="T22" s="14"/>
      <c r="AL22" s="2" t="s">
        <v>21</v>
      </c>
      <c r="AM22" s="17">
        <v>-3997525.3376000002</v>
      </c>
      <c r="AN22" s="18">
        <v>3276870.9400999998</v>
      </c>
      <c r="AO22" s="18">
        <v>3724218.4833999998</v>
      </c>
      <c r="AP22" s="18">
        <v>2.1999999999999999E-2</v>
      </c>
      <c r="AQ22" s="18">
        <v>1.9699999999999999E-2</v>
      </c>
      <c r="AR22" s="19">
        <v>5.9999999999999995E-4</v>
      </c>
      <c r="AS22" s="143">
        <v>2002</v>
      </c>
    </row>
    <row r="23" spans="1:45">
      <c r="C23" s="2"/>
      <c r="D23" s="2"/>
      <c r="E23" s="2"/>
      <c r="F23" s="124"/>
      <c r="G23" s="124"/>
      <c r="H23" s="124"/>
      <c r="I23" s="131"/>
      <c r="J23" s="124"/>
      <c r="K23" s="124"/>
      <c r="L23" s="124"/>
      <c r="N23" s="14"/>
      <c r="O23" s="14"/>
      <c r="P23" s="14"/>
      <c r="R23" s="14"/>
      <c r="S23" s="14"/>
      <c r="T23" s="14"/>
      <c r="AL23" s="2"/>
      <c r="AM23" s="20"/>
      <c r="AN23" s="2"/>
      <c r="AO23" s="2"/>
      <c r="AP23" s="2"/>
      <c r="AQ23" s="2"/>
      <c r="AR23" s="21"/>
    </row>
    <row r="24" spans="1:45">
      <c r="A24" s="9">
        <v>7336</v>
      </c>
      <c r="B24" s="227" t="s">
        <v>257</v>
      </c>
      <c r="C24" s="2" t="s">
        <v>252</v>
      </c>
      <c r="D24" s="2"/>
      <c r="E24" s="2"/>
      <c r="F24" s="124">
        <v>-3976129.9319000002</v>
      </c>
      <c r="G24" s="124">
        <v>3377927.8420000002</v>
      </c>
      <c r="H24" s="124">
        <v>3656753.8265</v>
      </c>
      <c r="I24" s="131"/>
      <c r="J24" s="124">
        <v>-3976129.9311000002</v>
      </c>
      <c r="K24" s="124">
        <v>3377927.8498</v>
      </c>
      <c r="L24" s="124">
        <v>3656753.8291000002</v>
      </c>
      <c r="N24" s="124">
        <v>-3976129.9306999999</v>
      </c>
      <c r="O24" s="124">
        <v>3377927.8470000001</v>
      </c>
      <c r="P24" s="124">
        <v>3656753.8300999999</v>
      </c>
      <c r="R24" s="124">
        <v>-3976129.9306999999</v>
      </c>
      <c r="S24" s="124">
        <v>3377927.8454</v>
      </c>
      <c r="T24" s="124">
        <v>3656753.8336</v>
      </c>
      <c r="AL24" s="2" t="s">
        <v>25</v>
      </c>
      <c r="AM24" s="20">
        <v>-3997505.6746999999</v>
      </c>
      <c r="AN24" s="2">
        <v>3276878.4849999999</v>
      </c>
      <c r="AO24" s="2">
        <v>3724240.6150000002</v>
      </c>
      <c r="AP24" s="2">
        <v>4.1999999999999997E-3</v>
      </c>
      <c r="AQ24" s="2">
        <v>4.7999999999999996E-3</v>
      </c>
      <c r="AR24" s="21">
        <v>2.5000000000000001E-3</v>
      </c>
      <c r="AS24" s="143">
        <v>2000</v>
      </c>
    </row>
    <row r="25" spans="1:45">
      <c r="C25" s="2"/>
      <c r="D25" s="2"/>
      <c r="E25" s="2"/>
      <c r="F25" s="124"/>
      <c r="G25" s="124"/>
      <c r="H25" s="124"/>
      <c r="I25" s="131"/>
      <c r="J25" s="124"/>
      <c r="K25" s="124"/>
      <c r="L25" s="124"/>
      <c r="N25" s="14"/>
      <c r="O25" s="14"/>
      <c r="P25" s="14"/>
      <c r="R25" s="14"/>
      <c r="S25" s="14"/>
      <c r="T25" s="14"/>
      <c r="AL25" s="2"/>
      <c r="AM25" s="20"/>
      <c r="AN25" s="2"/>
      <c r="AO25" s="2"/>
      <c r="AP25" s="2"/>
      <c r="AQ25" s="2"/>
      <c r="AR25" s="21"/>
    </row>
    <row r="26" spans="1:45" ht="15.75" thickBot="1">
      <c r="C26" s="14" t="s">
        <v>32</v>
      </c>
      <c r="D26" s="14"/>
      <c r="E26" s="14"/>
      <c r="F26" s="124">
        <v>-3976171.8763000001</v>
      </c>
      <c r="G26" s="124">
        <v>3377941.6787</v>
      </c>
      <c r="H26" s="124">
        <v>3656691.9632000001</v>
      </c>
      <c r="I26" s="124" t="s">
        <v>272</v>
      </c>
      <c r="J26" s="124">
        <v>-3976171.875</v>
      </c>
      <c r="K26" s="124">
        <v>3377941.6776999999</v>
      </c>
      <c r="L26" s="124">
        <v>3656691.9622999998</v>
      </c>
      <c r="N26" s="124">
        <v>-3976171.8727000002</v>
      </c>
      <c r="O26" s="124">
        <v>3377941.676</v>
      </c>
      <c r="P26" s="124">
        <v>3656691.9608999998</v>
      </c>
      <c r="R26" s="124">
        <v>-3976171.8703000001</v>
      </c>
      <c r="S26" s="124">
        <v>3377941.6754000001</v>
      </c>
      <c r="T26" s="124">
        <v>3656691.9602000001</v>
      </c>
      <c r="AL26" s="14" t="s">
        <v>32</v>
      </c>
      <c r="AM26" s="22">
        <v>-3997484.3454</v>
      </c>
      <c r="AN26" s="23">
        <v>3276846.8388</v>
      </c>
      <c r="AO26" s="23">
        <v>3724296.5296</v>
      </c>
      <c r="AP26" s="23">
        <v>2.3300000000000001E-2</v>
      </c>
      <c r="AQ26" s="23">
        <v>2.5000000000000001E-2</v>
      </c>
      <c r="AR26" s="24">
        <v>1.95E-2</v>
      </c>
      <c r="AS26" s="143">
        <v>2000</v>
      </c>
    </row>
    <row r="27" spans="1:45">
      <c r="C27" s="14"/>
      <c r="D27" s="16"/>
      <c r="E27" s="16"/>
      <c r="F27" s="124">
        <v>0.1</v>
      </c>
      <c r="G27" s="124">
        <v>0.1</v>
      </c>
      <c r="H27" s="124">
        <v>0.1</v>
      </c>
      <c r="I27" s="129" t="s">
        <v>271</v>
      </c>
      <c r="J27" s="124"/>
      <c r="K27" s="124"/>
      <c r="L27" s="124"/>
      <c r="N27" s="124"/>
      <c r="O27" s="124"/>
      <c r="P27" s="124"/>
      <c r="R27" s="124"/>
      <c r="S27" s="124"/>
      <c r="T27" s="124"/>
      <c r="AL27" s="16"/>
      <c r="AM27" s="7"/>
      <c r="AN27" s="7"/>
      <c r="AO27" s="7"/>
      <c r="AP27" s="7"/>
      <c r="AQ27" s="7"/>
      <c r="AR27" s="7"/>
      <c r="AS27" s="31"/>
    </row>
    <row r="28" spans="1:45">
      <c r="A28" s="9">
        <v>7337</v>
      </c>
      <c r="B28" s="227" t="s">
        <v>256</v>
      </c>
      <c r="C28" s="14" t="s">
        <v>139</v>
      </c>
      <c r="D28" s="16"/>
      <c r="E28" s="16"/>
      <c r="F28" s="124">
        <v>-3976161.693</v>
      </c>
      <c r="G28" s="124">
        <v>3377950.3604000001</v>
      </c>
      <c r="H28" s="124">
        <v>3656687.2762000002</v>
      </c>
      <c r="I28" s="129"/>
      <c r="J28" s="124">
        <v>-3976161.6921000001</v>
      </c>
      <c r="K28" s="124">
        <v>3377950.3615999999</v>
      </c>
      <c r="L28" s="124">
        <v>3656687.2760999999</v>
      </c>
      <c r="N28" s="124">
        <v>-3976161.6919999998</v>
      </c>
      <c r="O28" s="124">
        <v>3377950.3615999999</v>
      </c>
      <c r="P28" s="124">
        <v>3656687.2766</v>
      </c>
      <c r="R28" s="124">
        <v>-3976161.6910999999</v>
      </c>
      <c r="S28" s="124">
        <v>3377950.3618000001</v>
      </c>
      <c r="T28" s="124">
        <v>3656687.2771000001</v>
      </c>
      <c r="AL28" s="16"/>
      <c r="AM28" s="7"/>
      <c r="AN28" s="7"/>
      <c r="AO28" s="7"/>
      <c r="AP28" s="7"/>
      <c r="AQ28" s="7"/>
      <c r="AR28" s="7"/>
      <c r="AS28" s="31"/>
    </row>
    <row r="29" spans="1:45">
      <c r="C29" s="16"/>
      <c r="D29" s="16"/>
      <c r="E29" s="16"/>
      <c r="F29" s="16" t="s">
        <v>69</v>
      </c>
      <c r="G29" s="129" t="s">
        <v>70</v>
      </c>
      <c r="H29" s="129" t="s">
        <v>71</v>
      </c>
      <c r="I29" s="129"/>
      <c r="J29" s="129"/>
      <c r="K29" s="16"/>
      <c r="L29" s="16"/>
      <c r="N29" s="16"/>
      <c r="O29" s="16"/>
      <c r="P29" s="16"/>
      <c r="R29" s="16"/>
      <c r="S29" s="16"/>
      <c r="T29" s="16"/>
    </row>
    <row r="30" spans="1:45" ht="15.75" thickBot="1">
      <c r="C30" s="16" t="s">
        <v>68</v>
      </c>
      <c r="D30" s="16"/>
      <c r="E30" s="16"/>
      <c r="F30" s="16">
        <f>J4</f>
        <v>139.65041681</v>
      </c>
      <c r="G30" s="16">
        <f>K4</f>
        <v>35.206730350000001</v>
      </c>
      <c r="H30" s="16">
        <f>L4</f>
        <v>98.305000000000007</v>
      </c>
      <c r="I30" s="129" t="s">
        <v>15</v>
      </c>
      <c r="J30" s="152" t="s">
        <v>189</v>
      </c>
      <c r="K30" s="14" t="s">
        <v>188</v>
      </c>
      <c r="L30" s="14"/>
      <c r="N30" s="16"/>
      <c r="O30" s="16"/>
      <c r="P30" s="16"/>
      <c r="R30" s="16"/>
      <c r="S30" s="16"/>
      <c r="T30" s="16"/>
    </row>
    <row r="31" spans="1:45">
      <c r="C31" s="16"/>
      <c r="D31" s="16"/>
      <c r="E31" s="16" t="s">
        <v>46</v>
      </c>
      <c r="F31" s="236">
        <f>-SIN(RADIANS(F30))</f>
        <v>-0.64744954272192257</v>
      </c>
      <c r="G31" s="237">
        <f>COS(RADIANS(F30))</f>
        <v>-0.76210831882953056</v>
      </c>
      <c r="H31" s="238">
        <v>0</v>
      </c>
      <c r="I31" s="129"/>
      <c r="J31" s="152" t="s">
        <v>5</v>
      </c>
      <c r="K31" s="151" t="s">
        <v>4</v>
      </c>
      <c r="L31" s="151" t="s">
        <v>6</v>
      </c>
      <c r="M31" s="9"/>
      <c r="N31" s="151" t="s">
        <v>22</v>
      </c>
      <c r="O31" s="151" t="s">
        <v>23</v>
      </c>
      <c r="P31" s="151" t="s">
        <v>24</v>
      </c>
      <c r="R31" s="16"/>
      <c r="S31" s="16"/>
      <c r="T31" s="16"/>
    </row>
    <row r="32" spans="1:45">
      <c r="C32" s="16"/>
      <c r="D32" s="16"/>
      <c r="E32" s="16"/>
      <c r="F32" s="239">
        <f>-COS(RADIANS(F30))*SIN(RADIANS(G30))</f>
        <v>0.43937701313705063</v>
      </c>
      <c r="G32" s="240">
        <f>-SIN(RADIANS(F30))*SIN(RADIANS(G30))</f>
        <v>-0.3732729839178402</v>
      </c>
      <c r="H32" s="241">
        <f>COS(RADIANS(G30))</f>
        <v>0.81707718105686689</v>
      </c>
      <c r="I32" s="129"/>
      <c r="J32" s="210">
        <v>13211.2</v>
      </c>
      <c r="K32" s="169">
        <v>2596.1</v>
      </c>
      <c r="L32" s="169">
        <v>4450</v>
      </c>
      <c r="N32" s="169">
        <f t="array" ref="N32:P32">MMULT(J32:L32,F$31:H$33)</f>
        <v>-10183.939594803798</v>
      </c>
      <c r="O32" s="169">
        <v>-8683.2971150349513</v>
      </c>
      <c r="P32" s="169">
        <v>4686.7650027938398</v>
      </c>
      <c r="R32" s="16"/>
      <c r="S32" s="16"/>
      <c r="T32" s="16"/>
    </row>
    <row r="33" spans="1:50" ht="15.75" thickBot="1">
      <c r="C33" s="16"/>
      <c r="D33" s="16"/>
      <c r="E33" s="16"/>
      <c r="F33" s="242">
        <f>COS(RADIANS(F30))*COS(RADIANS(G30))</f>
        <v>-0.62270131680922081</v>
      </c>
      <c r="G33" s="243">
        <f>SIN(RADIANS(F30))*COS(RADIANS(G30))</f>
        <v>0.52901624724378604</v>
      </c>
      <c r="H33" s="244">
        <f>SIN(RADIANS(G30))</f>
        <v>0.57652829956227136</v>
      </c>
      <c r="I33" s="129"/>
      <c r="J33" s="129"/>
      <c r="K33" s="16"/>
      <c r="L33" s="16"/>
      <c r="N33" s="16"/>
      <c r="O33" s="16"/>
      <c r="P33" s="16"/>
      <c r="R33" s="16"/>
      <c r="S33" s="16"/>
      <c r="T33" s="16"/>
    </row>
    <row r="34" spans="1:50">
      <c r="C34" s="16"/>
      <c r="D34" s="16"/>
      <c r="E34" s="16"/>
      <c r="F34" s="16"/>
      <c r="G34" s="129"/>
      <c r="H34" s="129"/>
      <c r="I34" s="129"/>
      <c r="J34" s="129"/>
      <c r="K34" s="16"/>
      <c r="L34" s="16"/>
      <c r="N34" s="16"/>
      <c r="O34" s="16"/>
      <c r="P34" s="16"/>
      <c r="R34" s="16"/>
      <c r="S34" s="16"/>
      <c r="T34" s="16"/>
    </row>
    <row r="35" spans="1:50">
      <c r="C35" s="16"/>
      <c r="D35" s="16"/>
      <c r="E35" s="16"/>
      <c r="F35" s="16" t="s">
        <v>261</v>
      </c>
      <c r="G35" s="129" t="s">
        <v>264</v>
      </c>
      <c r="H35" s="129" t="s">
        <v>266</v>
      </c>
      <c r="I35" s="129"/>
      <c r="J35" s="157">
        <v>2.2999999999999998</v>
      </c>
      <c r="K35" s="8">
        <v>1</v>
      </c>
      <c r="L35" s="8">
        <v>0.1</v>
      </c>
      <c r="N35" s="169">
        <f t="array" ref="N35:P35">MMULT(J35:L35,F$31:H$33)</f>
        <v>-1.1120270668042931</v>
      </c>
      <c r="O35" s="169">
        <v>-2.0732204925013815</v>
      </c>
      <c r="P35" s="169">
        <v>0.874730011013094</v>
      </c>
      <c r="R35" s="16"/>
      <c r="S35" s="16"/>
      <c r="T35" s="16"/>
    </row>
    <row r="36" spans="1:50">
      <c r="C36" s="16"/>
      <c r="D36" s="16"/>
      <c r="E36" s="16"/>
      <c r="F36" s="16"/>
      <c r="G36" s="129" t="s">
        <v>264</v>
      </c>
      <c r="H36" s="129" t="s">
        <v>267</v>
      </c>
      <c r="I36" s="129"/>
      <c r="J36" s="157">
        <v>1.6</v>
      </c>
      <c r="K36" s="8">
        <v>0.3</v>
      </c>
      <c r="L36" s="8">
        <v>0.02</v>
      </c>
      <c r="N36" s="169">
        <f t="array" ref="N36:P36">MMULT(J36:L36,F$31:H$33)</f>
        <v>-0.91656019075014539</v>
      </c>
      <c r="O36" s="169">
        <v>-1.3207748803577253</v>
      </c>
      <c r="P36" s="169">
        <v>0.25665372030830547</v>
      </c>
      <c r="R36" s="16"/>
      <c r="S36" s="16"/>
      <c r="T36" s="16"/>
    </row>
    <row r="37" spans="1:50">
      <c r="C37" s="16"/>
      <c r="D37" s="16"/>
      <c r="E37" s="16"/>
      <c r="F37" s="16"/>
      <c r="G37" s="129" t="s">
        <v>264</v>
      </c>
      <c r="H37" s="129" t="s">
        <v>268</v>
      </c>
      <c r="I37" s="129"/>
      <c r="J37" s="157">
        <v>1.5</v>
      </c>
      <c r="K37" s="8">
        <v>0.1</v>
      </c>
      <c r="L37" s="8">
        <v>0</v>
      </c>
      <c r="N37" s="169">
        <f t="array" ref="N37:P37">MMULT(J37:L37,F$31:H$33)</f>
        <v>-0.92723661276917879</v>
      </c>
      <c r="O37" s="169">
        <v>-1.18048977663608</v>
      </c>
      <c r="P37" s="169">
        <v>8.1707718105686694E-2</v>
      </c>
      <c r="R37" s="16"/>
      <c r="S37" s="16"/>
      <c r="T37" s="16"/>
    </row>
    <row r="38" spans="1:50">
      <c r="C38" s="16"/>
      <c r="D38" s="16"/>
      <c r="E38" s="16"/>
      <c r="F38" s="16" t="s">
        <v>261</v>
      </c>
      <c r="G38" s="129" t="s">
        <v>273</v>
      </c>
      <c r="H38" s="129" t="s">
        <v>266</v>
      </c>
      <c r="I38" s="129"/>
      <c r="J38" s="157">
        <f t="array" ref="J38:L38">MMULT(N38:P38,TRANSPOSE(F$31:H$33))</f>
        <v>-0.3581224041932437</v>
      </c>
      <c r="K38" s="8">
        <v>0.13930894366343147</v>
      </c>
      <c r="L38" s="8">
        <v>0.14947027072374591</v>
      </c>
      <c r="N38" s="169">
        <v>0.2</v>
      </c>
      <c r="O38" s="169">
        <v>0.3</v>
      </c>
      <c r="P38" s="169">
        <v>0.2</v>
      </c>
      <c r="R38" s="16"/>
      <c r="S38" s="16"/>
      <c r="T38" s="16"/>
    </row>
    <row r="39" spans="1:50">
      <c r="C39" s="16"/>
      <c r="D39" s="16"/>
      <c r="E39" s="16"/>
      <c r="F39" s="16"/>
      <c r="G39" s="129" t="s">
        <v>274</v>
      </c>
      <c r="H39" s="129"/>
      <c r="I39" s="129"/>
      <c r="J39" s="157">
        <f t="array" ref="J39:L39">MMULT(N39:P39,TRANSPOSE(F$31:H$33))</f>
        <v>-0.14095578615514531</v>
      </c>
      <c r="K39" s="8">
        <v>8.8318121027607735E-2</v>
      </c>
      <c r="L39" s="8">
        <v>4.8284322999683667E-2</v>
      </c>
      <c r="N39" s="169">
        <v>0.1</v>
      </c>
      <c r="O39" s="169">
        <v>0.1</v>
      </c>
      <c r="P39" s="169">
        <v>0.1</v>
      </c>
      <c r="R39" s="16"/>
      <c r="S39" s="16"/>
      <c r="T39" s="16"/>
    </row>
    <row r="40" spans="1:50">
      <c r="C40" s="16"/>
      <c r="D40" s="16"/>
      <c r="E40" s="16"/>
      <c r="F40" s="16"/>
      <c r="G40" s="129" t="s">
        <v>270</v>
      </c>
      <c r="H40" s="129"/>
      <c r="I40" s="129"/>
      <c r="J40" s="157">
        <f t="array" ref="J40:L40">MMULT(N40:P40,TRANSPOSE(F$31:H$33))</f>
        <v>-0.14095578615514531</v>
      </c>
      <c r="K40" s="8">
        <v>8.8318121027607735E-2</v>
      </c>
      <c r="L40" s="8">
        <v>4.8284322999683667E-2</v>
      </c>
      <c r="N40" s="169">
        <v>0.1</v>
      </c>
      <c r="O40" s="169">
        <v>0.1</v>
      </c>
      <c r="P40" s="169">
        <v>0.1</v>
      </c>
      <c r="R40" s="16"/>
      <c r="S40" s="16"/>
      <c r="T40" s="16"/>
    </row>
    <row r="41" spans="1:50">
      <c r="C41" s="16"/>
      <c r="D41" s="16"/>
      <c r="E41" s="16"/>
      <c r="F41" s="16"/>
      <c r="G41" s="129" t="s">
        <v>275</v>
      </c>
      <c r="H41" s="129"/>
      <c r="I41" s="129"/>
      <c r="J41" s="157">
        <f t="array" ref="J41:L41">MMULT(N41:P41,TRANSPOSE(F$31:H$33))</f>
        <v>-0.2057007404273376</v>
      </c>
      <c r="K41" s="8">
        <v>0.13225582234131281</v>
      </c>
      <c r="L41" s="8">
        <v>-1.3985808681238415E-2</v>
      </c>
      <c r="N41" s="169">
        <v>0.2</v>
      </c>
      <c r="O41" s="169">
        <v>0.1</v>
      </c>
      <c r="P41" s="169">
        <v>0.1</v>
      </c>
      <c r="R41" s="16"/>
      <c r="S41" s="16"/>
      <c r="T41" s="16"/>
    </row>
    <row r="42" spans="1:50" ht="15.75" thickBot="1">
      <c r="C42" s="16"/>
      <c r="D42" s="16"/>
      <c r="E42" s="16"/>
      <c r="F42" s="16" t="s">
        <v>163</v>
      </c>
      <c r="G42" s="129"/>
      <c r="H42" s="129"/>
      <c r="I42" s="129"/>
      <c r="J42" s="129"/>
      <c r="K42" s="16"/>
      <c r="L42" s="16"/>
      <c r="N42" s="16"/>
      <c r="O42" s="16"/>
      <c r="P42" s="16"/>
      <c r="R42" s="16"/>
      <c r="S42" s="16"/>
      <c r="T42" s="16"/>
    </row>
    <row r="43" spans="1:50" ht="19.5" thickBot="1">
      <c r="C43" s="2"/>
      <c r="D43" s="2"/>
      <c r="E43" s="2"/>
      <c r="F43" s="322" t="s">
        <v>10</v>
      </c>
      <c r="G43" s="323"/>
      <c r="H43" s="324"/>
      <c r="J43" s="322" t="s">
        <v>11</v>
      </c>
      <c r="K43" s="323"/>
      <c r="L43" s="324"/>
      <c r="N43" s="322" t="s">
        <v>12</v>
      </c>
      <c r="O43" s="323"/>
      <c r="P43" s="324"/>
      <c r="R43" s="322" t="s">
        <v>13</v>
      </c>
      <c r="S43" s="323"/>
      <c r="T43" s="324"/>
      <c r="AM43" s="135"/>
      <c r="AN43" s="182" t="s">
        <v>110</v>
      </c>
      <c r="AO43" s="136"/>
      <c r="AP43" s="326" t="s">
        <v>115</v>
      </c>
      <c r="AQ43" s="321"/>
      <c r="AR43" s="321"/>
      <c r="AV43" t="s">
        <v>115</v>
      </c>
    </row>
    <row r="44" spans="1:50">
      <c r="C44" s="2" t="s">
        <v>269</v>
      </c>
      <c r="D44" s="2"/>
      <c r="E44" s="40"/>
      <c r="F44" s="14">
        <f>F24-F28</f>
        <v>31.761099999770522</v>
      </c>
      <c r="G44" s="14">
        <f>G24-G28</f>
        <v>-22.518399999942631</v>
      </c>
      <c r="H44" s="14">
        <f>H24-H28</f>
        <v>66.550299999769777</v>
      </c>
      <c r="I44" s="297"/>
      <c r="J44" s="14">
        <f>J24-J28</f>
        <v>31.760999999940395</v>
      </c>
      <c r="K44" s="14">
        <f>K24-K28</f>
        <v>-22.511799999978393</v>
      </c>
      <c r="L44" s="14">
        <f>L24-L28</f>
        <v>66.553000000305474</v>
      </c>
      <c r="M44" s="48"/>
      <c r="N44" s="14">
        <f>N24-N28</f>
        <v>31.761299999896437</v>
      </c>
      <c r="O44" s="14">
        <f>O24-O28</f>
        <v>-22.514599999878556</v>
      </c>
      <c r="P44" s="14">
        <f>P24-P28</f>
        <v>66.553499999921769</v>
      </c>
      <c r="Q44" s="7"/>
      <c r="R44" s="14">
        <f>R24-R28</f>
        <v>31.760400000028312</v>
      </c>
      <c r="S44" s="14">
        <f>S24-S28</f>
        <v>-22.516400000080466</v>
      </c>
      <c r="T44" s="14">
        <f>T24-T28</f>
        <v>66.556499999947846</v>
      </c>
      <c r="AL44" s="2"/>
      <c r="AM44" s="14"/>
      <c r="AN44" s="124"/>
      <c r="AO44" s="124"/>
      <c r="AV44" s="16"/>
      <c r="AW44" s="129"/>
      <c r="AX44" s="129"/>
    </row>
    <row r="45" spans="1:50">
      <c r="C45" s="2" t="s">
        <v>258</v>
      </c>
      <c r="D45" s="2"/>
      <c r="E45" s="40"/>
      <c r="F45" s="151" t="s">
        <v>206</v>
      </c>
      <c r="G45" s="152" t="s">
        <v>206</v>
      </c>
      <c r="H45" s="152" t="s">
        <v>206</v>
      </c>
      <c r="I45" s="297"/>
      <c r="J45" s="124">
        <f>J22-J24</f>
        <v>16.621500000357628</v>
      </c>
      <c r="K45" s="14">
        <f>K22-K24</f>
        <v>9.6164000001735985</v>
      </c>
      <c r="L45" s="14">
        <f>L22-L24</f>
        <v>-64.989600000437349</v>
      </c>
      <c r="M45" s="48"/>
      <c r="N45" s="151" t="s">
        <v>206</v>
      </c>
      <c r="O45" s="152" t="s">
        <v>206</v>
      </c>
      <c r="P45" s="152" t="s">
        <v>206</v>
      </c>
      <c r="R45" s="151" t="s">
        <v>206</v>
      </c>
      <c r="S45" s="152" t="s">
        <v>206</v>
      </c>
      <c r="T45" s="152" t="s">
        <v>206</v>
      </c>
      <c r="AL45" s="2" t="s">
        <v>29</v>
      </c>
      <c r="AM45" s="14">
        <f>AM22-AM24</f>
        <v>-19.662900000344962</v>
      </c>
      <c r="AN45" s="124">
        <f>AN22-AN24</f>
        <v>-7.5449000000953674</v>
      </c>
      <c r="AO45" s="124">
        <f>AO22-AO24</f>
        <v>-22.131600000429899</v>
      </c>
      <c r="AP45">
        <f>SQRT(AP24^2+AP22^2)</f>
        <v>2.2397321268401719E-2</v>
      </c>
      <c r="AQ45">
        <f>SQRT(AQ24^2+AQ22^2)</f>
        <v>2.0276340892774514E-2</v>
      </c>
      <c r="AR45">
        <f>SQRT(AR24^2+AR22^2)</f>
        <v>2.5709920264364882E-3</v>
      </c>
      <c r="AV45" s="1" t="e">
        <f t="array" ref="AV45:AX45">MMULT(#REF!,TRANSPOSE($F$31:$H$33))*1000</f>
        <v>#REF!</v>
      </c>
      <c r="AW45" s="1" t="e">
        <v>#REF!</v>
      </c>
      <c r="AX45" s="1" t="e">
        <v>#REF!</v>
      </c>
    </row>
    <row r="46" spans="1:50" s="1" customFormat="1">
      <c r="A46" s="226"/>
      <c r="B46" s="231"/>
      <c r="C46" s="2" t="s">
        <v>259</v>
      </c>
      <c r="F46" s="14">
        <f>F22-F28</f>
        <v>3976161.693</v>
      </c>
      <c r="G46" s="14">
        <f>G22-G28</f>
        <v>-3377950.3604000001</v>
      </c>
      <c r="H46" s="14">
        <f>H22-H28</f>
        <v>-3656687.2762000002</v>
      </c>
      <c r="I46" s="298"/>
      <c r="J46" s="14">
        <f>J22-J28</f>
        <v>48.382500000298023</v>
      </c>
      <c r="K46" s="14">
        <f>K22-K28</f>
        <v>-12.895399999804795</v>
      </c>
      <c r="L46" s="14">
        <f>L22-L28</f>
        <v>1.5633999998681247</v>
      </c>
      <c r="M46" s="296"/>
      <c r="N46" s="151" t="s">
        <v>206</v>
      </c>
      <c r="O46" s="152" t="s">
        <v>206</v>
      </c>
      <c r="P46" s="152" t="s">
        <v>206</v>
      </c>
      <c r="R46" s="151" t="s">
        <v>206</v>
      </c>
      <c r="S46" s="152" t="s">
        <v>206</v>
      </c>
      <c r="T46" s="152" t="s">
        <v>206</v>
      </c>
      <c r="V46" s="3"/>
      <c r="W46" s="3"/>
      <c r="X46" s="3"/>
      <c r="AL46" s="2"/>
      <c r="AM46" s="14"/>
      <c r="AN46" s="14"/>
      <c r="AO46" s="14"/>
      <c r="AP46" s="3"/>
      <c r="AQ46" s="3"/>
      <c r="AR46" s="3"/>
    </row>
    <row r="47" spans="1:50">
      <c r="C47" s="144" t="s">
        <v>161</v>
      </c>
      <c r="D47" s="7"/>
      <c r="E47" s="7"/>
      <c r="F47" s="14">
        <f>F26-F28</f>
        <v>-10.183300000149757</v>
      </c>
      <c r="G47" s="14">
        <f>G26-G28</f>
        <v>-8.6817000000737607</v>
      </c>
      <c r="H47" s="14">
        <f>H26-H28</f>
        <v>4.6869999999180436</v>
      </c>
      <c r="I47" s="134"/>
      <c r="J47" s="14">
        <f>J26-J28</f>
        <v>-10.182899999897927</v>
      </c>
      <c r="K47" s="14">
        <f>K26-K28</f>
        <v>-8.6839000000618398</v>
      </c>
      <c r="L47" s="14">
        <f>L26-L28</f>
        <v>4.6861999998800457</v>
      </c>
      <c r="M47" s="7"/>
      <c r="N47" s="14">
        <f>N26-N28</f>
        <v>-10.180700000375509</v>
      </c>
      <c r="O47" s="14">
        <f>O26-O28</f>
        <v>-8.6855999999679625</v>
      </c>
      <c r="P47" s="14">
        <f>P26-P28</f>
        <v>4.6842999998480082</v>
      </c>
      <c r="Q47" s="7"/>
      <c r="R47" s="14">
        <f>R26-R28</f>
        <v>-10.17920000012964</v>
      </c>
      <c r="S47" s="14">
        <f>S26-S28</f>
        <v>-8.6864000000059605</v>
      </c>
      <c r="T47" s="14">
        <f>T26-T28</f>
        <v>4.6831000000238419</v>
      </c>
      <c r="AL47" s="7"/>
      <c r="AM47" s="16"/>
      <c r="AN47" s="129"/>
      <c r="AO47" s="129"/>
    </row>
    <row r="48" spans="1:50">
      <c r="C48" s="211" t="s">
        <v>190</v>
      </c>
      <c r="D48" s="212"/>
      <c r="E48" s="212"/>
      <c r="F48" s="213">
        <f>N32*0.001</f>
        <v>-10.183939594803798</v>
      </c>
      <c r="G48" s="213">
        <f>O32*0.001</f>
        <v>-8.6832971150349518</v>
      </c>
      <c r="H48" s="213">
        <f>P32*0.001</f>
        <v>4.6867650027938401</v>
      </c>
      <c r="I48" s="134"/>
      <c r="J48" s="129"/>
      <c r="K48" s="16"/>
      <c r="L48" s="16"/>
      <c r="N48" s="3"/>
      <c r="O48" s="3"/>
      <c r="P48" s="3"/>
      <c r="R48" s="3"/>
      <c r="S48" s="3"/>
      <c r="T48" s="3"/>
    </row>
    <row r="49" spans="3:68">
      <c r="C49" s="31"/>
      <c r="D49" s="7"/>
      <c r="E49" s="7"/>
      <c r="F49" s="16"/>
      <c r="G49" s="129"/>
      <c r="H49" s="129"/>
      <c r="I49" s="134"/>
      <c r="J49" s="129"/>
      <c r="K49" s="16"/>
      <c r="L49" s="16"/>
      <c r="N49" s="3"/>
      <c r="O49" s="3"/>
      <c r="P49" s="3"/>
      <c r="R49" s="3"/>
      <c r="S49" s="3"/>
      <c r="T49" s="3"/>
    </row>
    <row r="50" spans="3:68" ht="15.75" thickBot="1">
      <c r="C50" s="31" t="s">
        <v>162</v>
      </c>
      <c r="J50" s="130"/>
      <c r="K50" s="3"/>
      <c r="L50" s="3"/>
      <c r="N50" s="3"/>
      <c r="O50" s="3"/>
      <c r="P50" s="3"/>
      <c r="R50" s="3"/>
      <c r="S50" s="3"/>
      <c r="T50" s="3"/>
    </row>
    <row r="51" spans="3:68" ht="19.5" thickBot="1">
      <c r="C51" s="2"/>
      <c r="D51" s="2"/>
      <c r="E51" s="2"/>
      <c r="F51" s="316" t="s">
        <v>10</v>
      </c>
      <c r="G51" s="316"/>
      <c r="H51" s="316"/>
      <c r="J51" s="322" t="s">
        <v>11</v>
      </c>
      <c r="K51" s="323"/>
      <c r="L51" s="324"/>
      <c r="N51" s="322" t="s">
        <v>12</v>
      </c>
      <c r="O51" s="323"/>
      <c r="P51" s="324"/>
      <c r="R51" s="322" t="s">
        <v>13</v>
      </c>
      <c r="S51" s="323"/>
      <c r="T51" s="324"/>
      <c r="AM51" s="135"/>
      <c r="AN51" s="182" t="s">
        <v>110</v>
      </c>
      <c r="AO51" s="136"/>
      <c r="AR51" t="s">
        <v>117</v>
      </c>
      <c r="AT51" t="s">
        <v>16</v>
      </c>
      <c r="AV51" t="s">
        <v>116</v>
      </c>
      <c r="AX51" t="s">
        <v>16</v>
      </c>
      <c r="AZ51" t="s">
        <v>125</v>
      </c>
      <c r="BB51" t="s">
        <v>16</v>
      </c>
      <c r="BD51" t="s">
        <v>133</v>
      </c>
      <c r="BF51" t="s">
        <v>16</v>
      </c>
      <c r="BH51" s="2"/>
      <c r="BI51" s="315" t="s">
        <v>7</v>
      </c>
      <c r="BJ51" s="315"/>
      <c r="BK51" s="315"/>
      <c r="BM51" s="315" t="s">
        <v>126</v>
      </c>
      <c r="BN51" s="315"/>
      <c r="BO51" s="315"/>
      <c r="BP51" s="2" t="s">
        <v>4</v>
      </c>
    </row>
    <row r="52" spans="3:68">
      <c r="C52" s="2"/>
      <c r="D52" s="2"/>
      <c r="E52" s="2"/>
      <c r="F52" s="14" t="s">
        <v>5</v>
      </c>
      <c r="G52" s="124" t="s">
        <v>4</v>
      </c>
      <c r="H52" s="124" t="s">
        <v>6</v>
      </c>
      <c r="I52" s="124" t="s">
        <v>15</v>
      </c>
      <c r="J52" s="124" t="s">
        <v>5</v>
      </c>
      <c r="K52" s="14" t="s">
        <v>4</v>
      </c>
      <c r="L52" s="14" t="s">
        <v>6</v>
      </c>
      <c r="M52" s="14" t="s">
        <v>15</v>
      </c>
      <c r="N52" s="14" t="s">
        <v>5</v>
      </c>
      <c r="O52" s="14" t="s">
        <v>4</v>
      </c>
      <c r="P52" s="14" t="s">
        <v>6</v>
      </c>
      <c r="Q52" s="14" t="s">
        <v>15</v>
      </c>
      <c r="R52" s="14" t="s">
        <v>5</v>
      </c>
      <c r="S52" s="14" t="s">
        <v>4</v>
      </c>
      <c r="T52" s="14" t="s">
        <v>6</v>
      </c>
      <c r="U52" s="3" t="s">
        <v>15</v>
      </c>
      <c r="Y52" s="3"/>
      <c r="Z52" s="3"/>
      <c r="AA52" s="3"/>
      <c r="AB52" s="3"/>
      <c r="AC52" s="3"/>
      <c r="AD52" s="3"/>
      <c r="AE52" s="3"/>
      <c r="AF52" s="3"/>
      <c r="AG52" s="3"/>
      <c r="AH52" s="3"/>
      <c r="AI52" s="3"/>
      <c r="AJ52" s="3"/>
      <c r="AK52" s="3"/>
      <c r="AM52" s="14" t="s">
        <v>5</v>
      </c>
      <c r="AN52" s="124" t="s">
        <v>4</v>
      </c>
      <c r="AO52" s="124" t="s">
        <v>6</v>
      </c>
      <c r="AR52" s="14" t="s">
        <v>5</v>
      </c>
      <c r="AS52" s="124" t="s">
        <v>4</v>
      </c>
      <c r="AT52" s="124" t="s">
        <v>6</v>
      </c>
      <c r="AV52" s="14" t="s">
        <v>5</v>
      </c>
      <c r="AW52" s="124" t="s">
        <v>4</v>
      </c>
      <c r="AX52" s="124" t="s">
        <v>6</v>
      </c>
      <c r="AZ52" s="14" t="s">
        <v>5</v>
      </c>
      <c r="BA52" s="124" t="s">
        <v>4</v>
      </c>
      <c r="BB52" s="124" t="s">
        <v>6</v>
      </c>
      <c r="BD52" s="14" t="s">
        <v>5</v>
      </c>
      <c r="BE52" s="124" t="s">
        <v>4</v>
      </c>
      <c r="BF52" s="149" t="s">
        <v>6</v>
      </c>
      <c r="BG52" s="149"/>
      <c r="BH52" s="2"/>
      <c r="BI52" s="14" t="s">
        <v>5</v>
      </c>
      <c r="BJ52" s="124" t="s">
        <v>4</v>
      </c>
      <c r="BK52" s="124" t="s">
        <v>6</v>
      </c>
      <c r="BM52" s="14" t="s">
        <v>5</v>
      </c>
      <c r="BN52" s="124" t="s">
        <v>4</v>
      </c>
      <c r="BO52" s="124" t="s">
        <v>6</v>
      </c>
      <c r="BP52" s="2"/>
    </row>
    <row r="53" spans="3:68">
      <c r="C53" s="2" t="s">
        <v>65</v>
      </c>
      <c r="D53" s="2"/>
      <c r="E53" s="2"/>
      <c r="F53" s="14" t="e">
        <f t="array" ref="F53:H53">MMULT(#REF!,TRANSPOSE($F$31:$H$33))</f>
        <v>#REF!</v>
      </c>
      <c r="G53" s="124" t="e">
        <v>#REF!</v>
      </c>
      <c r="H53" s="124" t="e">
        <v>#REF!</v>
      </c>
      <c r="I53" s="131"/>
      <c r="J53" s="14" t="e">
        <f t="array" ref="J53:L53">MMULT(#REF!,TRANSPOSE($F$31:$H$33))</f>
        <v>#REF!</v>
      </c>
      <c r="K53" s="124" t="e">
        <v>#REF!</v>
      </c>
      <c r="L53" s="124" t="e">
        <v>#REF!</v>
      </c>
      <c r="M53" s="2"/>
      <c r="N53" s="14" t="e">
        <f t="array" ref="N53:P53">MMULT(#REF!,TRANSPOSE($F$31:$H$33))</f>
        <v>#REF!</v>
      </c>
      <c r="O53" s="124" t="e">
        <v>#REF!</v>
      </c>
      <c r="P53" s="124" t="e">
        <v>#REF!</v>
      </c>
      <c r="Q53" s="2"/>
      <c r="R53" s="14" t="e">
        <f t="array" ref="R53:T53">MMULT(#REF!,TRANSPOSE($F$31:$H$33))</f>
        <v>#REF!</v>
      </c>
      <c r="S53" s="124" t="e">
        <v>#REF!</v>
      </c>
      <c r="T53" s="124" t="e">
        <v>#REF!</v>
      </c>
      <c r="AL53" s="2" t="s">
        <v>65</v>
      </c>
      <c r="AM53" s="14" t="e">
        <f t="array" ref="AM53:AO53">MMULT(#REF!,TRANSPOSE(F31:H33))</f>
        <v>#REF!</v>
      </c>
      <c r="AN53" s="124" t="e">
        <v>#REF!</v>
      </c>
      <c r="AO53" s="124" t="e">
        <v>#REF!</v>
      </c>
      <c r="AQ53" s="2" t="s">
        <v>65</v>
      </c>
      <c r="AR53" s="133" t="e">
        <f>($AM53-F53)*1000</f>
        <v>#REF!</v>
      </c>
      <c r="AS53" s="133" t="e">
        <f>($AN53-G53)*1000</f>
        <v>#REF!</v>
      </c>
      <c r="AT53" s="133" t="e">
        <f>($AO53-H53)*1000</f>
        <v>#REF!</v>
      </c>
      <c r="AU53" s="1"/>
      <c r="AV53" s="133" t="e">
        <f>($AM53-J53)*1000</f>
        <v>#REF!</v>
      </c>
      <c r="AW53" s="133" t="e">
        <f>($AN53-K53)*1000</f>
        <v>#REF!</v>
      </c>
      <c r="AX53" s="133" t="e">
        <f>($AO53-L53)*1000</f>
        <v>#REF!</v>
      </c>
      <c r="AZ53" s="133" t="e">
        <f>($AM53-N53)*1000</f>
        <v>#REF!</v>
      </c>
      <c r="BA53" s="133" t="e">
        <f>($AN53-O53)*1000</f>
        <v>#REF!</v>
      </c>
      <c r="BB53" s="133" t="e">
        <f>($AO53-P53)*1000</f>
        <v>#REF!</v>
      </c>
      <c r="BD53" s="133" t="e">
        <f>($AM53-R53)*1000</f>
        <v>#REF!</v>
      </c>
      <c r="BE53" s="133" t="e">
        <f>($AN53-S53)*1000</f>
        <v>#REF!</v>
      </c>
      <c r="BF53" s="150" t="e">
        <f>($AO53-T53)*1000</f>
        <v>#REF!</v>
      </c>
      <c r="BG53" s="150"/>
      <c r="BH53" s="2" t="s">
        <v>65</v>
      </c>
      <c r="BI53" s="6" t="e">
        <f>AVERAGE(AR53,AV53,AZ53,BD53)</f>
        <v>#REF!</v>
      </c>
      <c r="BJ53" s="6" t="e">
        <f>AVERAGE(AS53,AW53,BA53,BE53)</f>
        <v>#REF!</v>
      </c>
      <c r="BK53" s="6" t="e">
        <f>AVERAGE(AT53,AX53,BB53,BF53)</f>
        <v>#REF!</v>
      </c>
      <c r="BM53" s="6" t="e">
        <f t="shared" ref="BM53:BO60" si="3">STDEV(AR53,AV53,AZ53,BD53)</f>
        <v>#REF!</v>
      </c>
      <c r="BN53" s="6" t="e">
        <f t="shared" si="3"/>
        <v>#REF!</v>
      </c>
      <c r="BO53" s="6" t="e">
        <f t="shared" si="3"/>
        <v>#REF!</v>
      </c>
      <c r="BP53" s="2">
        <f>COUNTA(AR53,AV53,AZ53,BD53)</f>
        <v>4</v>
      </c>
    </row>
    <row r="54" spans="3:68">
      <c r="C54" s="2" t="s">
        <v>136</v>
      </c>
      <c r="D54" s="2"/>
      <c r="E54" s="2"/>
      <c r="F54" s="14" t="e">
        <f t="array" ref="F54:H54">MMULT(#REF!,TRANSPOSE($F$31:$H$33))</f>
        <v>#REF!</v>
      </c>
      <c r="G54" s="124" t="e">
        <v>#REF!</v>
      </c>
      <c r="H54" s="124" t="e">
        <v>#REF!</v>
      </c>
      <c r="I54" s="131"/>
      <c r="J54" s="14" t="e">
        <f t="array" ref="J54:L54">MMULT(#REF!,TRANSPOSE($F$31:$H$33))</f>
        <v>#REF!</v>
      </c>
      <c r="K54" s="124" t="e">
        <v>#REF!</v>
      </c>
      <c r="L54" s="124" t="e">
        <v>#REF!</v>
      </c>
      <c r="M54" s="2"/>
      <c r="N54" s="14" t="e">
        <f t="array" ref="N54:P54">MMULT(#REF!,TRANSPOSE($F$31:$H$33))</f>
        <v>#REF!</v>
      </c>
      <c r="O54" s="124" t="e">
        <v>#REF!</v>
      </c>
      <c r="P54" s="124" t="e">
        <v>#REF!</v>
      </c>
      <c r="Q54" s="2"/>
      <c r="R54" s="14" t="e">
        <f t="array" ref="R54:T54">MMULT(#REF!,TRANSPOSE($F$31:$H$33))</f>
        <v>#REF!</v>
      </c>
      <c r="S54" s="124" t="e">
        <v>#REF!</v>
      </c>
      <c r="T54" s="124" t="e">
        <v>#REF!</v>
      </c>
      <c r="AL54" s="2"/>
      <c r="AM54" s="14"/>
      <c r="AN54" s="14"/>
      <c r="AO54" s="14"/>
      <c r="AQ54" s="2" t="s">
        <v>136</v>
      </c>
      <c r="AR54" s="133" t="e">
        <f>($AM53-F54)*1000</f>
        <v>#REF!</v>
      </c>
      <c r="AS54" s="133" t="e">
        <f>($AN53-G54)*1000</f>
        <v>#REF!</v>
      </c>
      <c r="AT54" s="133" t="e">
        <f>($AO53-H54)*1000</f>
        <v>#REF!</v>
      </c>
      <c r="AU54" s="1"/>
      <c r="AV54" s="133" t="e">
        <f>($AM53-J54)*1000</f>
        <v>#REF!</v>
      </c>
      <c r="AW54" s="133" t="e">
        <f>($AN53-K54)*1000</f>
        <v>#REF!</v>
      </c>
      <c r="AX54" s="133" t="e">
        <f>($AO53-L54)*1000</f>
        <v>#REF!</v>
      </c>
      <c r="AZ54" s="133" t="e">
        <f>($AM53-N54)*1000</f>
        <v>#REF!</v>
      </c>
      <c r="BA54" s="133" t="e">
        <f>($AN53-O54)*1000</f>
        <v>#REF!</v>
      </c>
      <c r="BB54" s="133" t="e">
        <f>($AO53-P54)*1000</f>
        <v>#REF!</v>
      </c>
      <c r="BD54" s="133" t="e">
        <f>($AM53-R54)*1000</f>
        <v>#REF!</v>
      </c>
      <c r="BE54" s="133" t="e">
        <f>($AN53-S54)*1000</f>
        <v>#REF!</v>
      </c>
      <c r="BF54" s="133" t="e">
        <f>($AO53-T54)*1000</f>
        <v>#REF!</v>
      </c>
      <c r="BG54" s="157"/>
      <c r="BH54" s="2" t="s">
        <v>147</v>
      </c>
      <c r="BI54" s="6" t="e">
        <f t="shared" ref="BI54:BK60" si="4">AVERAGE(AR54,AV54,AZ54,BD54)</f>
        <v>#REF!</v>
      </c>
      <c r="BJ54" s="6" t="e">
        <f t="shared" si="4"/>
        <v>#REF!</v>
      </c>
      <c r="BK54" s="6" t="e">
        <f t="shared" si="4"/>
        <v>#REF!</v>
      </c>
      <c r="BM54" s="6" t="e">
        <f t="shared" si="3"/>
        <v>#REF!</v>
      </c>
      <c r="BN54" s="6" t="e">
        <f t="shared" si="3"/>
        <v>#REF!</v>
      </c>
      <c r="BO54" s="6" t="e">
        <f t="shared" si="3"/>
        <v>#REF!</v>
      </c>
      <c r="BP54" s="2">
        <f>COUNTA(AR54,AV54,AZ54,BD54)</f>
        <v>4</v>
      </c>
    </row>
    <row r="55" spans="3:68">
      <c r="C55" s="2" t="s">
        <v>141</v>
      </c>
      <c r="D55" s="2"/>
      <c r="E55" s="2"/>
      <c r="F55" s="14">
        <f t="array" ref="F55:H55">MMULT(F44:H44,TRANSPOSE($F$31:$H$33))</f>
        <v>-3.4022497045095008</v>
      </c>
      <c r="G55" s="124">
        <v>76.737339135181131</v>
      </c>
      <c r="H55" s="124">
        <v>6.6778530391557247</v>
      </c>
      <c r="I55" s="131"/>
      <c r="J55" s="14">
        <f t="array" ref="J55:L55">MMULT(J44:L44,TRANSPOSE($F$31:$H$33))</f>
        <v>-3.4072148745422339</v>
      </c>
      <c r="K55" s="124">
        <v>76.737037704700498</v>
      </c>
      <c r="L55" s="124">
        <v>6.6829634431121789</v>
      </c>
      <c r="M55" s="2"/>
      <c r="N55" s="14">
        <f t="array" ref="N55:P55">MMULT(N44:P44,TRANSPOSE($F$31:$H$33))</f>
        <v>-3.4052752061599527</v>
      </c>
      <c r="O55" s="124">
        <v>76.73862322037985</v>
      </c>
      <c r="P55" s="124">
        <v>6.6815836512336091</v>
      </c>
      <c r="Q55" s="2"/>
      <c r="R55" s="14">
        <f t="array" ref="R55:T55">MMULT(R44:T44,TRANSPOSE($F$31:$H$33))</f>
        <v>-3.4033207065291151</v>
      </c>
      <c r="S55" s="124">
        <v>76.741350904136866</v>
      </c>
      <c r="T55" s="124">
        <v>6.6829214378984858</v>
      </c>
      <c r="AL55" s="2"/>
      <c r="AM55" s="14"/>
      <c r="AN55" s="14"/>
      <c r="AO55" s="14"/>
      <c r="AQ55" s="2" t="s">
        <v>141</v>
      </c>
      <c r="AR55" s="133" t="e">
        <f>($AM53-F55)*1000</f>
        <v>#REF!</v>
      </c>
      <c r="AS55" s="133" t="e">
        <f>($AN53-G55)*1000</f>
        <v>#REF!</v>
      </c>
      <c r="AT55" s="133" t="e">
        <f>($AO53-H55)*1000</f>
        <v>#REF!</v>
      </c>
      <c r="AU55" s="1"/>
      <c r="AV55" s="133" t="e">
        <f>($AM53-J55)*1000</f>
        <v>#REF!</v>
      </c>
      <c r="AW55" s="133" t="e">
        <f>($AN53-K55)*1000</f>
        <v>#REF!</v>
      </c>
      <c r="AX55" s="133" t="e">
        <f>($AO53-L55)*1000</f>
        <v>#REF!</v>
      </c>
      <c r="AZ55" s="133" t="e">
        <f>($AM53-N55)*1000</f>
        <v>#REF!</v>
      </c>
      <c r="BA55" s="133" t="e">
        <f>($AN53-O55)*1000</f>
        <v>#REF!</v>
      </c>
      <c r="BB55" s="133" t="e">
        <f>($AO53-P55)*1000</f>
        <v>#REF!</v>
      </c>
      <c r="BD55" s="133" t="e">
        <f>($AM53-R55)*1000</f>
        <v>#REF!</v>
      </c>
      <c r="BE55" s="133" t="e">
        <f>($AN53-S55)*1000</f>
        <v>#REF!</v>
      </c>
      <c r="BF55" s="133" t="e">
        <f>($AO53-T55)*1000</f>
        <v>#REF!</v>
      </c>
      <c r="BG55" s="157"/>
      <c r="BH55" s="168" t="s">
        <v>141</v>
      </c>
      <c r="BI55" s="169" t="e">
        <f t="shared" si="4"/>
        <v>#REF!</v>
      </c>
      <c r="BJ55" s="169" t="e">
        <f t="shared" si="4"/>
        <v>#REF!</v>
      </c>
      <c r="BK55" s="169" t="e">
        <f t="shared" si="4"/>
        <v>#REF!</v>
      </c>
      <c r="BL55" s="170"/>
      <c r="BM55" s="169" t="e">
        <f t="shared" si="3"/>
        <v>#REF!</v>
      </c>
      <c r="BN55" s="169" t="e">
        <f t="shared" si="3"/>
        <v>#REF!</v>
      </c>
      <c r="BO55" s="169" t="e">
        <f t="shared" si="3"/>
        <v>#REF!</v>
      </c>
      <c r="BP55" s="168">
        <f>COUNTA(AR55,AV55,AZ55,BD55)</f>
        <v>4</v>
      </c>
    </row>
    <row r="56" spans="3:68">
      <c r="C56" s="2" t="s">
        <v>29</v>
      </c>
      <c r="D56" s="2"/>
      <c r="E56" s="2"/>
      <c r="F56" s="14" t="e">
        <f t="array" ref="F56:H56">MMULT(F45:H45,TRANSPOSE($F$31:$H$33))</f>
        <v>#VALUE!</v>
      </c>
      <c r="G56" s="124" t="e">
        <v>#VALUE!</v>
      </c>
      <c r="H56" s="124" t="e">
        <v>#VALUE!</v>
      </c>
      <c r="I56" s="131"/>
      <c r="J56" s="124">
        <f t="array" ref="J56:L56">MMULT(J45:L45,TRANSPOSE($F$31:$H$33))</f>
        <v>-18.090321011908582</v>
      </c>
      <c r="K56" s="14">
        <v>-49.387956464968404</v>
      </c>
      <c r="L56" s="14">
        <v>-42.731341674964511</v>
      </c>
      <c r="M56" s="2"/>
      <c r="N56" s="14"/>
      <c r="O56" s="14"/>
      <c r="P56" s="14"/>
      <c r="Q56" s="2"/>
      <c r="R56" s="14"/>
      <c r="S56" s="14"/>
      <c r="T56" s="14"/>
      <c r="AL56" s="2" t="s">
        <v>29</v>
      </c>
      <c r="AM56" s="14">
        <f t="array" ref="AM56:AO56">MMULT(AM45:AO45,TRANSPOSE($F$31:$H$33))</f>
        <v>18.480766668619843</v>
      </c>
      <c r="AN56" s="124">
        <v>-23.906344275996187</v>
      </c>
      <c r="AO56" s="124">
        <v>-4.5067546762174686</v>
      </c>
      <c r="AQ56" s="2" t="s">
        <v>29</v>
      </c>
      <c r="AR56" s="133" t="e">
        <f>($AM56-F56)*1000</f>
        <v>#VALUE!</v>
      </c>
      <c r="AS56" s="133" t="e">
        <f>($AN56-G56)*1000</f>
        <v>#VALUE!</v>
      </c>
      <c r="AT56" s="133" t="e">
        <f>($AO56-H56)*1000</f>
        <v>#VALUE!</v>
      </c>
      <c r="AU56" s="1"/>
      <c r="AV56" s="133">
        <f>($AM56-J56)*1000</f>
        <v>36571.087680528421</v>
      </c>
      <c r="AW56" s="133">
        <f>($AN56-K56)*1000</f>
        <v>25481.612188972216</v>
      </c>
      <c r="AX56" s="133">
        <f>($AO56-L56)*1000</f>
        <v>38224.586998747043</v>
      </c>
      <c r="AZ56" s="133"/>
      <c r="BA56" s="133"/>
      <c r="BB56" s="133"/>
      <c r="BH56" s="168" t="s">
        <v>29</v>
      </c>
      <c r="BI56" s="169" t="e">
        <f t="shared" si="4"/>
        <v>#VALUE!</v>
      </c>
      <c r="BJ56" s="169" t="e">
        <f t="shared" si="4"/>
        <v>#VALUE!</v>
      </c>
      <c r="BK56" s="169" t="e">
        <f t="shared" si="4"/>
        <v>#VALUE!</v>
      </c>
      <c r="BL56" s="170"/>
      <c r="BM56" s="169" t="e">
        <f t="shared" si="3"/>
        <v>#VALUE!</v>
      </c>
      <c r="BN56" s="169" t="e">
        <f t="shared" si="3"/>
        <v>#VALUE!</v>
      </c>
      <c r="BO56" s="169" t="e">
        <f t="shared" si="3"/>
        <v>#VALUE!</v>
      </c>
      <c r="BP56" s="168">
        <f t="shared" ref="BP56" si="5">COUNTA(AR56,AV56,AZ56,BD56)</f>
        <v>2</v>
      </c>
    </row>
    <row r="57" spans="3:68">
      <c r="C57" s="2" t="s">
        <v>137</v>
      </c>
      <c r="D57" s="2"/>
      <c r="E57" s="2"/>
      <c r="F57" s="14" t="e">
        <f t="array" ref="F57:H57">MMULT(#REF!,TRANSPOSE($F$31:$H$33))</f>
        <v>#REF!</v>
      </c>
      <c r="G57" s="124" t="e">
        <v>#REF!</v>
      </c>
      <c r="H57" s="124" t="e">
        <v>#REF!</v>
      </c>
      <c r="I57" s="131"/>
      <c r="J57" s="14" t="e">
        <f t="array" ref="J57:L57">MMULT(#REF!,TRANSPOSE($F$31:$H$33))</f>
        <v>#REF!</v>
      </c>
      <c r="K57" s="124" t="e">
        <v>#REF!</v>
      </c>
      <c r="L57" s="124" t="e">
        <v>#REF!</v>
      </c>
      <c r="M57" s="2"/>
      <c r="N57" s="14"/>
      <c r="O57" s="14"/>
      <c r="P57" s="14"/>
      <c r="Q57" s="2"/>
      <c r="R57" s="14"/>
      <c r="S57" s="14"/>
      <c r="T57" s="14"/>
      <c r="AL57" s="2" t="s">
        <v>138</v>
      </c>
      <c r="AM57" s="14" t="e">
        <f t="array" ref="AM57:AO57">MMULT(#REF!,TRANSPOSE($F$31:$H$33))</f>
        <v>#REF!</v>
      </c>
      <c r="AN57" s="124" t="e">
        <v>#REF!</v>
      </c>
      <c r="AO57" s="124" t="e">
        <v>#REF!</v>
      </c>
      <c r="AQ57" s="2" t="s">
        <v>137</v>
      </c>
      <c r="AR57" s="133" t="e">
        <f>(AM57-F57)*1000</f>
        <v>#REF!</v>
      </c>
      <c r="AS57" s="133" t="e">
        <f>(AN57-G57)*1000</f>
        <v>#REF!</v>
      </c>
      <c r="AT57" s="133" t="e">
        <f>(AO57-H57)*1000</f>
        <v>#REF!</v>
      </c>
      <c r="AU57" s="1"/>
      <c r="AV57" s="133" t="e">
        <f>($AM57-J57)*1000</f>
        <v>#REF!</v>
      </c>
      <c r="AW57" s="133" t="e">
        <f>($AN57-K57)*1000</f>
        <v>#REF!</v>
      </c>
      <c r="AX57" s="133" t="e">
        <f>($AO57-L57)*1000</f>
        <v>#REF!</v>
      </c>
      <c r="AZ57" s="133"/>
      <c r="BA57" s="133"/>
      <c r="BB57" s="133"/>
      <c r="BH57" s="2" t="s">
        <v>146</v>
      </c>
      <c r="BI57" s="6" t="e">
        <f t="shared" si="4"/>
        <v>#REF!</v>
      </c>
      <c r="BJ57" s="6" t="e">
        <f t="shared" si="4"/>
        <v>#REF!</v>
      </c>
      <c r="BK57" s="6" t="e">
        <f t="shared" si="4"/>
        <v>#REF!</v>
      </c>
      <c r="BM57" s="6" t="e">
        <f t="shared" si="3"/>
        <v>#REF!</v>
      </c>
      <c r="BN57" s="6" t="e">
        <f t="shared" si="3"/>
        <v>#REF!</v>
      </c>
      <c r="BO57" s="6" t="e">
        <f t="shared" si="3"/>
        <v>#REF!</v>
      </c>
      <c r="BP57" s="2">
        <f>COUNTA(AR57,AV57,AZ57,BD57)</f>
        <v>2</v>
      </c>
    </row>
    <row r="58" spans="3:68">
      <c r="C58" s="2" t="s">
        <v>142</v>
      </c>
      <c r="D58" s="2"/>
      <c r="E58" s="2"/>
      <c r="F58" s="14">
        <f t="array" ref="F58:H58">MMULT(F46:H46,TRANSPOSE($F$31:$H$33))</f>
        <v>3.3277552574872971E-4</v>
      </c>
      <c r="G58" s="124">
        <v>20135.927329141181</v>
      </c>
      <c r="H58" s="124">
        <v>-6371135.4424906634</v>
      </c>
      <c r="I58" s="131"/>
      <c r="J58" s="14">
        <f t="array" ref="J58:L58">MMULT(J46:L46,TRANSPOSE($F$31:$H$33))</f>
        <v>-21.497535886450812</v>
      </c>
      <c r="K58" s="124">
        <v>27.349081239732101</v>
      </c>
      <c r="L58" s="124">
        <v>-36.048378231852332</v>
      </c>
      <c r="M58" s="2"/>
      <c r="N58" s="14"/>
      <c r="O58" s="14"/>
      <c r="P58" s="14"/>
      <c r="Q58" s="2"/>
      <c r="R58" s="14"/>
      <c r="S58" s="14"/>
      <c r="T58" s="14"/>
      <c r="AL58" s="2"/>
      <c r="AM58" s="14"/>
      <c r="AN58" s="124"/>
      <c r="AO58" s="124"/>
      <c r="AQ58" s="2" t="s">
        <v>142</v>
      </c>
      <c r="AR58" s="133" t="e">
        <f>(AM57-F58)*1000</f>
        <v>#REF!</v>
      </c>
      <c r="AS58" s="133" t="e">
        <f>(AN57-G58)*1000</f>
        <v>#REF!</v>
      </c>
      <c r="AT58" s="133" t="e">
        <f>(AO57-H58)*1000</f>
        <v>#REF!</v>
      </c>
      <c r="AU58" s="1"/>
      <c r="AV58" s="133" t="e">
        <f>($AM57-J58)*1000</f>
        <v>#REF!</v>
      </c>
      <c r="AW58" s="133" t="e">
        <f>($AN57-K58)*1000</f>
        <v>#REF!</v>
      </c>
      <c r="AX58" s="133" t="e">
        <f>($AO57-L58)*1000</f>
        <v>#REF!</v>
      </c>
      <c r="AZ58" s="133"/>
      <c r="BA58" s="133"/>
      <c r="BB58" s="133"/>
      <c r="BH58" s="168" t="s">
        <v>142</v>
      </c>
      <c r="BI58" s="169" t="e">
        <f t="shared" si="4"/>
        <v>#REF!</v>
      </c>
      <c r="BJ58" s="169" t="e">
        <f t="shared" si="4"/>
        <v>#REF!</v>
      </c>
      <c r="BK58" s="169" t="e">
        <f t="shared" si="4"/>
        <v>#REF!</v>
      </c>
      <c r="BL58" s="170"/>
      <c r="BM58" s="169" t="e">
        <f t="shared" si="3"/>
        <v>#REF!</v>
      </c>
      <c r="BN58" s="169" t="e">
        <f t="shared" si="3"/>
        <v>#REF!</v>
      </c>
      <c r="BO58" s="169" t="e">
        <f t="shared" si="3"/>
        <v>#REF!</v>
      </c>
      <c r="BP58" s="168">
        <f>COUNTA(AR58,AV58,AZ58,BD58)</f>
        <v>2</v>
      </c>
    </row>
    <row r="59" spans="3:68">
      <c r="C59" s="2" t="s">
        <v>30</v>
      </c>
      <c r="D59" s="2"/>
      <c r="E59" s="2"/>
      <c r="F59" s="14" t="e">
        <f t="array" ref="F59:H59">MMULT(#REF!,TRANSPOSE($F$31:$H$33))</f>
        <v>#REF!</v>
      </c>
      <c r="G59" s="124" t="e">
        <v>#REF!</v>
      </c>
      <c r="H59" s="124" t="e">
        <v>#REF!</v>
      </c>
      <c r="I59" s="131"/>
      <c r="J59" s="124" t="e">
        <f t="array" ref="J59:L59">MMULT(#REF!,TRANSPOSE($F$31:$H$33))</f>
        <v>#REF!</v>
      </c>
      <c r="K59" s="14" t="e">
        <v>#REF!</v>
      </c>
      <c r="L59" s="14" t="e">
        <v>#REF!</v>
      </c>
      <c r="M59" s="2"/>
      <c r="N59" s="14"/>
      <c r="O59" s="14"/>
      <c r="P59" s="14"/>
      <c r="Q59" s="2"/>
      <c r="R59" s="14"/>
      <c r="S59" s="14"/>
      <c r="T59" s="14"/>
      <c r="AL59" s="2" t="s">
        <v>30</v>
      </c>
      <c r="AM59" s="14" t="e">
        <f t="array" ref="AM59:AO59">MMULT(#REF!,TRANSPOSE($F$31:$H$33))</f>
        <v>#REF!</v>
      </c>
      <c r="AN59" s="124" t="e">
        <v>#REF!</v>
      </c>
      <c r="AO59" s="124" t="e">
        <v>#REF!</v>
      </c>
      <c r="AQ59" s="2" t="s">
        <v>30</v>
      </c>
      <c r="AR59" s="133" t="e">
        <f>($AM59-F59)*1000</f>
        <v>#REF!</v>
      </c>
      <c r="AS59" s="133" t="e">
        <f>($AN59-G59)*1000</f>
        <v>#REF!</v>
      </c>
      <c r="AT59" s="133" t="e">
        <f>($AO59-H59)*1000</f>
        <v>#REF!</v>
      </c>
      <c r="AU59" s="1"/>
      <c r="AV59" s="133" t="e">
        <f>($AM59-J59)*1000</f>
        <v>#REF!</v>
      </c>
      <c r="AW59" s="133" t="e">
        <f>($AN59-K59)*1000</f>
        <v>#REF!</v>
      </c>
      <c r="AX59" s="133" t="e">
        <f>($AO59-L59)*1000</f>
        <v>#REF!</v>
      </c>
      <c r="AZ59" s="133"/>
      <c r="BA59" s="133"/>
      <c r="BB59" s="133"/>
      <c r="BH59" s="168" t="s">
        <v>30</v>
      </c>
      <c r="BI59" s="169" t="e">
        <f t="shared" si="4"/>
        <v>#REF!</v>
      </c>
      <c r="BJ59" s="169" t="e">
        <f t="shared" si="4"/>
        <v>#REF!</v>
      </c>
      <c r="BK59" s="169" t="e">
        <f t="shared" si="4"/>
        <v>#REF!</v>
      </c>
      <c r="BL59" s="170"/>
      <c r="BM59" s="169" t="e">
        <f t="shared" si="3"/>
        <v>#REF!</v>
      </c>
      <c r="BN59" s="169" t="e">
        <f t="shared" si="3"/>
        <v>#REF!</v>
      </c>
      <c r="BO59" s="169" t="e">
        <f t="shared" si="3"/>
        <v>#REF!</v>
      </c>
      <c r="BP59" s="168">
        <f t="shared" ref="BP59:BP60" si="6">COUNTA(AR59,AV59,AZ59,BD59)</f>
        <v>2</v>
      </c>
    </row>
    <row r="60" spans="3:68">
      <c r="C60" s="2" t="s">
        <v>31</v>
      </c>
      <c r="D60" s="2"/>
      <c r="E60" s="2"/>
      <c r="F60" s="14" t="e">
        <f t="array" ref="F60:H60">MMULT(#REF!,TRANSPOSE($F$31:$H$33))</f>
        <v>#REF!</v>
      </c>
      <c r="G60" s="124" t="e">
        <v>#REF!</v>
      </c>
      <c r="H60" s="124" t="e">
        <v>#REF!</v>
      </c>
      <c r="I60" s="131"/>
      <c r="J60" s="124" t="e">
        <f t="array" ref="J60:L60">MMULT(#REF!,TRANSPOSE($F$31:$H$33))</f>
        <v>#REF!</v>
      </c>
      <c r="K60" s="14" t="e">
        <v>#REF!</v>
      </c>
      <c r="L60" s="14" t="e">
        <v>#REF!</v>
      </c>
      <c r="M60" s="2"/>
      <c r="N60" s="14"/>
      <c r="O60" s="14"/>
      <c r="P60" s="14"/>
      <c r="Q60" s="2"/>
      <c r="R60" s="2"/>
      <c r="S60" s="2"/>
      <c r="T60" s="2"/>
      <c r="AL60" s="2" t="s">
        <v>31</v>
      </c>
      <c r="AM60" s="14" t="e">
        <f t="array" ref="AM60:AO60">MMULT(#REF!,TRANSPOSE($F$31:$H$33))</f>
        <v>#REF!</v>
      </c>
      <c r="AN60" s="124" t="e">
        <v>#REF!</v>
      </c>
      <c r="AO60" s="124" t="e">
        <v>#REF!</v>
      </c>
      <c r="AQ60" s="2" t="s">
        <v>31</v>
      </c>
      <c r="AR60" s="133" t="e">
        <f>($AM60-F60)*1000</f>
        <v>#REF!</v>
      </c>
      <c r="AS60" s="133" t="e">
        <f>($AN60-G60)*1000</f>
        <v>#REF!</v>
      </c>
      <c r="AT60" s="133" t="e">
        <f>($AO60-H60)*1000</f>
        <v>#REF!</v>
      </c>
      <c r="AU60" s="1"/>
      <c r="AV60" s="133" t="e">
        <f>($AM60-J60)*1000</f>
        <v>#REF!</v>
      </c>
      <c r="AW60" s="133" t="e">
        <f>($AN60-K60)*1000</f>
        <v>#REF!</v>
      </c>
      <c r="AX60" s="133" t="e">
        <f>($AO60-L60)*1000</f>
        <v>#REF!</v>
      </c>
      <c r="AZ60" s="133"/>
      <c r="BA60" s="133"/>
      <c r="BB60" s="133"/>
      <c r="BH60" s="168" t="s">
        <v>31</v>
      </c>
      <c r="BI60" s="169" t="e">
        <f t="shared" si="4"/>
        <v>#REF!</v>
      </c>
      <c r="BJ60" s="169" t="e">
        <f t="shared" si="4"/>
        <v>#REF!</v>
      </c>
      <c r="BK60" s="169" t="e">
        <f t="shared" si="4"/>
        <v>#REF!</v>
      </c>
      <c r="BL60" s="170"/>
      <c r="BM60" s="169" t="e">
        <f t="shared" si="3"/>
        <v>#REF!</v>
      </c>
      <c r="BN60" s="169" t="e">
        <f t="shared" si="3"/>
        <v>#REF!</v>
      </c>
      <c r="BO60" s="169" t="e">
        <f t="shared" si="3"/>
        <v>#REF!</v>
      </c>
      <c r="BP60" s="168">
        <f t="shared" si="6"/>
        <v>2</v>
      </c>
    </row>
    <row r="61" spans="3:68" ht="15.75" thickBot="1">
      <c r="C61" s="144" t="s">
        <v>140</v>
      </c>
      <c r="D61" s="7"/>
      <c r="E61" s="7"/>
      <c r="F61" s="14" t="e">
        <f t="array" ref="F61:H61">MMULT(#REF!,TRANSPOSE($F$31:$H$33))</f>
        <v>#REF!</v>
      </c>
      <c r="G61" s="124" t="e">
        <v>#REF!</v>
      </c>
      <c r="H61" s="124" t="e">
        <v>#REF!</v>
      </c>
      <c r="I61" s="134"/>
      <c r="J61" s="14" t="e">
        <f t="array" ref="J61:L61">MMULT(#REF!,TRANSPOSE($F$31:$H$33))</f>
        <v>#REF!</v>
      </c>
      <c r="K61" s="124" t="e">
        <v>#REF!</v>
      </c>
      <c r="L61" s="124" t="e">
        <v>#REF!</v>
      </c>
      <c r="M61" s="7"/>
      <c r="N61" s="14" t="e">
        <f t="array" ref="N61:P61">MMULT(#REF!,TRANSPOSE($F$31:$H$33))</f>
        <v>#REF!</v>
      </c>
      <c r="O61" s="124" t="e">
        <v>#REF!</v>
      </c>
      <c r="P61" s="124" t="e">
        <v>#REF!</v>
      </c>
      <c r="Q61" s="7"/>
      <c r="R61" s="14" t="e">
        <f t="array" ref="R61:T61">MMULT(#REF!,TRANSPOSE($F$31:$H$33))</f>
        <v>#REF!</v>
      </c>
      <c r="S61" s="124" t="e">
        <v>#REF!</v>
      </c>
      <c r="T61" s="124" t="e">
        <v>#REF!</v>
      </c>
      <c r="AL61" s="7"/>
      <c r="AM61" s="16"/>
      <c r="AN61" s="129"/>
      <c r="AO61" s="129"/>
      <c r="AR61" s="157"/>
      <c r="AS61" s="157"/>
      <c r="AT61" s="157"/>
      <c r="AU61" s="1"/>
      <c r="AV61" s="157"/>
      <c r="AW61" s="157"/>
      <c r="AX61" s="157"/>
      <c r="AZ61" s="157"/>
      <c r="BA61" s="157"/>
      <c r="BB61" s="157"/>
      <c r="BH61" s="7"/>
      <c r="BI61" s="8"/>
      <c r="BJ61" s="8"/>
      <c r="BK61" s="8"/>
      <c r="BM61" s="8"/>
      <c r="BN61" s="8"/>
      <c r="BO61" s="8"/>
      <c r="BP61" s="7"/>
    </row>
    <row r="62" spans="3:68">
      <c r="C62" s="144" t="s">
        <v>165</v>
      </c>
      <c r="D62" s="7"/>
      <c r="E62" s="7"/>
      <c r="F62" s="14">
        <f t="array" ref="F62:H62">MMULT(F47:H47,TRANSPOSE($F$31:$H$33))</f>
        <v>13.209568720135664</v>
      </c>
      <c r="G62" s="124">
        <v>2.5959768741092892</v>
      </c>
      <c r="H62" s="124">
        <v>4.4505821058223098</v>
      </c>
      <c r="I62" s="134"/>
      <c r="J62" s="14">
        <f t="array" ref="J62:L62">MMULT(J47:L47,TRANSPOSE($F$31:$H$33))</f>
        <v>13.210986378447867</v>
      </c>
      <c r="K62" s="124">
        <v>2.5963201638094686</v>
      </c>
      <c r="L62" s="124">
        <v>4.448707966739585</v>
      </c>
      <c r="M62" s="7"/>
      <c r="N62" s="14">
        <f t="array" ref="N62:P62">MMULT(N47:P47,TRANSPOSE($F$31:$H$33))</f>
        <v>13.210857573833554</v>
      </c>
      <c r="O62" s="124">
        <v>2.5963689103959653</v>
      </c>
      <c r="P62" s="124">
        <v>4.445343292781704</v>
      </c>
      <c r="Q62" s="7"/>
      <c r="R62" s="14">
        <f t="array" ref="R62:T62">MMULT(R47:T47,TRANSPOSE($F$31:$H$33))</f>
        <v>13.210496086044307</v>
      </c>
      <c r="S62" s="124">
        <v>2.5963461019514185</v>
      </c>
      <c r="T62" s="124">
        <v>4.4432941937773904</v>
      </c>
      <c r="AL62" s="160" t="s">
        <v>164</v>
      </c>
      <c r="AM62" s="124">
        <v>1.532</v>
      </c>
      <c r="AN62" s="124">
        <v>10.019</v>
      </c>
      <c r="AO62" s="124">
        <v>4.4429999999999996</v>
      </c>
      <c r="AQ62" s="2" t="s">
        <v>156</v>
      </c>
      <c r="AR62" s="14">
        <f>($AM62-F62)*1000</f>
        <v>-11677.568720135663</v>
      </c>
      <c r="AS62" s="14">
        <f>($AN62-G62)*1000</f>
        <v>7423.0231258907106</v>
      </c>
      <c r="AT62" s="14">
        <f>($AO62-H62)*1000</f>
        <v>-7.5821058223102256</v>
      </c>
      <c r="AU62" s="1"/>
      <c r="AV62" s="14">
        <f>($AM62-J62)*1000</f>
        <v>-11678.986378447868</v>
      </c>
      <c r="AW62" s="14">
        <f>($AN62-K62)*1000</f>
        <v>7422.6798361905312</v>
      </c>
      <c r="AX62" s="14">
        <f>($AO62-L62)*1000</f>
        <v>-5.7079667395854017</v>
      </c>
      <c r="AZ62" s="14">
        <f>($AM62-N62)*1000</f>
        <v>-11678.857573833553</v>
      </c>
      <c r="BA62" s="14">
        <f>($AN62-O62)*1000</f>
        <v>7422.631089604035</v>
      </c>
      <c r="BB62" s="14">
        <f>($AO62-P62)*1000</f>
        <v>-2.3432927817044202</v>
      </c>
      <c r="BD62" s="14">
        <f>($AM62-R62)*1000</f>
        <v>-11678.496086044306</v>
      </c>
      <c r="BE62" s="14">
        <f>($AN62-S62)*1000</f>
        <v>7422.6538980485821</v>
      </c>
      <c r="BF62" s="14">
        <f>($AO62-T62)*1000</f>
        <v>-0.29419377739081654</v>
      </c>
      <c r="BH62" s="17" t="s">
        <v>167</v>
      </c>
      <c r="BI62" s="325" t="s">
        <v>7</v>
      </c>
      <c r="BJ62" s="325"/>
      <c r="BK62" s="325"/>
      <c r="BL62" s="32"/>
      <c r="BM62" s="325" t="s">
        <v>126</v>
      </c>
      <c r="BN62" s="325"/>
      <c r="BO62" s="325"/>
      <c r="BP62" s="19" t="s">
        <v>4</v>
      </c>
    </row>
    <row r="63" spans="3:68">
      <c r="C63" s="31"/>
      <c r="D63" s="7"/>
      <c r="E63" s="7"/>
      <c r="F63" s="16"/>
      <c r="G63" s="129"/>
      <c r="H63" s="129"/>
      <c r="I63" s="134"/>
      <c r="J63" s="16"/>
      <c r="K63" s="129"/>
      <c r="L63" s="129"/>
      <c r="M63" s="7"/>
      <c r="N63" s="16"/>
      <c r="O63" s="129"/>
      <c r="P63" s="129"/>
      <c r="Q63" s="7"/>
      <c r="R63" s="16"/>
      <c r="S63" s="129"/>
      <c r="T63" s="129"/>
      <c r="AL63" s="7"/>
      <c r="AM63" s="16"/>
      <c r="AN63" s="129"/>
      <c r="AO63" s="129"/>
      <c r="AQ63" s="7"/>
      <c r="AS63" s="157"/>
      <c r="AT63" s="157"/>
      <c r="AU63" s="1"/>
      <c r="AV63" s="157"/>
      <c r="AW63" s="157"/>
      <c r="AX63" s="157"/>
      <c r="AZ63" s="157"/>
      <c r="BA63" s="157"/>
      <c r="BB63" s="157"/>
      <c r="BH63" s="20"/>
      <c r="BI63" s="14" t="s">
        <v>5</v>
      </c>
      <c r="BJ63" s="124" t="s">
        <v>4</v>
      </c>
      <c r="BK63" s="124" t="s">
        <v>6</v>
      </c>
      <c r="BL63" s="7"/>
      <c r="BM63" s="14" t="s">
        <v>5</v>
      </c>
      <c r="BN63" s="124" t="s">
        <v>4</v>
      </c>
      <c r="BO63" s="124" t="s">
        <v>6</v>
      </c>
      <c r="BP63" s="21"/>
    </row>
    <row r="64" spans="3:68" ht="15.75" thickBot="1">
      <c r="AY64" s="1"/>
      <c r="AZ64" s="1"/>
      <c r="BA64" s="1"/>
      <c r="BH64" s="180" t="s">
        <v>164</v>
      </c>
      <c r="BI64" s="188">
        <f>AVERAGE(AR62,AV62,AZ62,BD62)</f>
        <v>-11678.477189615347</v>
      </c>
      <c r="BJ64" s="188">
        <f>AVERAGE(AS62,AW62,BA62,BE62)</f>
        <v>7422.7469874334647</v>
      </c>
      <c r="BK64" s="188">
        <f>AVERAGE(AT62,AX62,BB62,BF62)</f>
        <v>-3.981889780247716</v>
      </c>
      <c r="BL64" s="189"/>
      <c r="BM64" s="188">
        <f>STDEV(AR62,AV62,AZ62,BD62)</f>
        <v>0.64021852810017355</v>
      </c>
      <c r="BN64" s="188">
        <f>STDEV(AS62,AW62,BA62,BE62)</f>
        <v>0.1851663013275916</v>
      </c>
      <c r="BO64" s="188">
        <f>STDEV(AT62,AX62,BB62,BF62)</f>
        <v>3.2774481512401552</v>
      </c>
      <c r="BP64" s="190">
        <f>COUNTA(AR62,AV62,AZ62,BD62)</f>
        <v>4</v>
      </c>
    </row>
    <row r="65" spans="3:20">
      <c r="C65" t="s">
        <v>74</v>
      </c>
    </row>
    <row r="66" spans="3:20">
      <c r="C66" s="2" t="s">
        <v>65</v>
      </c>
      <c r="D66" s="2"/>
      <c r="E66" s="2"/>
      <c r="F66" s="14">
        <f>'NEU-Kas'!R29</f>
        <v>-12.3934</v>
      </c>
      <c r="G66" s="124">
        <f>'NEU-Kas'!Q29</f>
        <v>-76.694900000000004</v>
      </c>
      <c r="H66" s="124">
        <f>'NEU-Kas'!S29</f>
        <v>-7.7363</v>
      </c>
      <c r="I66" s="131"/>
      <c r="J66" s="131">
        <f>'NEU-Kas'!N29</f>
        <v>-12.393400000000002</v>
      </c>
      <c r="K66" s="2">
        <f>'NEU-Kas'!M29</f>
        <v>-76.695999999999998</v>
      </c>
      <c r="L66" s="2">
        <f>'NEU-Kas'!O29</f>
        <v>-7.7339000000000002</v>
      </c>
      <c r="M66" s="2"/>
      <c r="N66" s="2">
        <f>'NEU-Kas'!J29</f>
        <v>-12.392100000000001</v>
      </c>
      <c r="O66" s="2">
        <f>'NEU-Kas'!I29</f>
        <v>-76.697099999999992</v>
      </c>
      <c r="P66" s="2">
        <f>'NEU-Kas'!K29</f>
        <v>-7.7358000000000002</v>
      </c>
      <c r="Q66" s="2"/>
      <c r="R66" s="2">
        <f>'NEU-Kas'!F29</f>
        <v>-12.3889</v>
      </c>
      <c r="S66" s="2">
        <f>'NEU-Kas'!E29</f>
        <v>-76.699000000000012</v>
      </c>
      <c r="T66" s="2">
        <f>'NEU-Kas'!G29</f>
        <v>-7.7311999999999994</v>
      </c>
    </row>
    <row r="67" spans="3:20">
      <c r="C67" s="2" t="s">
        <v>29</v>
      </c>
      <c r="D67" s="2"/>
      <c r="E67" s="2"/>
      <c r="F67" s="14">
        <f>'NEU-Kas'!R30</f>
        <v>18.2865</v>
      </c>
      <c r="G67" s="124">
        <f>'NEU-Kas'!Q30</f>
        <v>-24.057400000000001</v>
      </c>
      <c r="H67" s="124">
        <f>'NEU-Kas'!S30</f>
        <v>-4.4882999999999997</v>
      </c>
      <c r="I67" s="131"/>
      <c r="J67" s="131">
        <f>'NEU-Kas'!N30</f>
        <v>18.287600000000001</v>
      </c>
      <c r="K67" s="2">
        <f>'NEU-Kas'!M30</f>
        <v>-24.057599999999994</v>
      </c>
      <c r="L67" s="2">
        <f>'NEU-Kas'!O30</f>
        <v>-4.4864999999999995</v>
      </c>
      <c r="M67" s="2"/>
      <c r="N67" s="2"/>
      <c r="O67" s="2"/>
      <c r="P67" s="2"/>
      <c r="Q67" s="2"/>
      <c r="R67" s="2"/>
      <c r="S67" s="2"/>
      <c r="T67" s="2"/>
    </row>
    <row r="68" spans="3:20">
      <c r="C68" s="2" t="s">
        <v>30</v>
      </c>
      <c r="D68" s="2"/>
      <c r="E68" s="2"/>
      <c r="F68" s="14">
        <f>'NEU-Kas'!R31</f>
        <v>-217.8415</v>
      </c>
      <c r="G68" s="124">
        <f>'NEU-Kas'!Q31</f>
        <v>-59.558800000000005</v>
      </c>
      <c r="H68" s="124">
        <f>'NEU-Kas'!S31</f>
        <v>-20.473300000000002</v>
      </c>
      <c r="I68" s="131"/>
      <c r="J68" s="131">
        <f>'NEU-Kas'!N31</f>
        <v>-217.83920000000001</v>
      </c>
      <c r="K68" s="2">
        <f>'NEU-Kas'!M31</f>
        <v>-59.561799999999991</v>
      </c>
      <c r="L68" s="2">
        <f>'NEU-Kas'!O31</f>
        <v>-20.469899999999999</v>
      </c>
      <c r="M68" s="2"/>
      <c r="N68" s="2"/>
      <c r="O68" s="2"/>
      <c r="P68" s="2"/>
      <c r="Q68" s="2"/>
      <c r="R68" s="2"/>
      <c r="S68" s="2"/>
      <c r="T68" s="2"/>
    </row>
    <row r="69" spans="3:20">
      <c r="C69" s="2" t="s">
        <v>31</v>
      </c>
      <c r="D69" s="2"/>
      <c r="E69" s="2"/>
      <c r="F69" s="14">
        <f>'NEU-Kas'!R32</f>
        <v>236.12799999999999</v>
      </c>
      <c r="G69" s="124">
        <f>'NEU-Kas'!Q32</f>
        <v>35.501400000000004</v>
      </c>
      <c r="H69" s="124">
        <f>'NEU-Kas'!S32</f>
        <v>15.984999999999999</v>
      </c>
      <c r="I69" s="131"/>
      <c r="J69" s="131">
        <f>'NEU-Kas'!N32</f>
        <v>236.1268</v>
      </c>
      <c r="K69" s="2">
        <f>'NEU-Kas'!M32</f>
        <v>35.504199999999997</v>
      </c>
      <c r="L69" s="2">
        <f>'NEU-Kas'!O32</f>
        <v>15.9834</v>
      </c>
      <c r="M69" s="2"/>
      <c r="N69" s="2"/>
      <c r="O69" s="2"/>
      <c r="P69" s="2"/>
      <c r="Q69" s="2"/>
      <c r="R69" s="2"/>
      <c r="S69" s="2"/>
      <c r="T69" s="2"/>
    </row>
    <row r="70" spans="3:20">
      <c r="C70" s="31" t="s">
        <v>73</v>
      </c>
    </row>
    <row r="71" spans="3:20">
      <c r="C71" s="2" t="s">
        <v>65</v>
      </c>
      <c r="D71" s="2"/>
      <c r="E71" s="2"/>
      <c r="F71" s="6" t="e">
        <f>(F66-F53)*1000</f>
        <v>#REF!</v>
      </c>
      <c r="G71" s="133" t="e">
        <f t="shared" ref="G71:T71" si="7">(G66-G53)*1000</f>
        <v>#REF!</v>
      </c>
      <c r="H71" s="133" t="e">
        <f t="shared" si="7"/>
        <v>#REF!</v>
      </c>
      <c r="I71" s="133"/>
      <c r="J71" s="133" t="e">
        <f t="shared" si="7"/>
        <v>#REF!</v>
      </c>
      <c r="K71" s="6" t="e">
        <f t="shared" si="7"/>
        <v>#REF!</v>
      </c>
      <c r="L71" s="6" t="e">
        <f t="shared" si="7"/>
        <v>#REF!</v>
      </c>
      <c r="M71" s="6"/>
      <c r="N71" s="6" t="e">
        <f t="shared" si="7"/>
        <v>#REF!</v>
      </c>
      <c r="O71" s="6" t="e">
        <f t="shared" si="7"/>
        <v>#REF!</v>
      </c>
      <c r="P71" s="6" t="e">
        <f t="shared" si="7"/>
        <v>#REF!</v>
      </c>
      <c r="Q71" s="6">
        <f t="shared" si="7"/>
        <v>0</v>
      </c>
      <c r="R71" s="6" t="e">
        <f t="shared" si="7"/>
        <v>#REF!</v>
      </c>
      <c r="S71" s="6" t="e">
        <f t="shared" si="7"/>
        <v>#REF!</v>
      </c>
      <c r="T71" s="6" t="e">
        <f t="shared" si="7"/>
        <v>#REF!</v>
      </c>
    </row>
    <row r="72" spans="3:20">
      <c r="C72" s="2" t="s">
        <v>29</v>
      </c>
      <c r="D72" s="2"/>
      <c r="E72" s="2"/>
      <c r="F72" s="6" t="e">
        <f t="shared" ref="F72:L72" si="8">(F67-F56)*1000</f>
        <v>#VALUE!</v>
      </c>
      <c r="G72" s="133" t="e">
        <f t="shared" si="8"/>
        <v>#VALUE!</v>
      </c>
      <c r="H72" s="133" t="e">
        <f t="shared" si="8"/>
        <v>#VALUE!</v>
      </c>
      <c r="I72" s="133"/>
      <c r="J72" s="133">
        <f t="shared" si="8"/>
        <v>36377.921011908584</v>
      </c>
      <c r="K72" s="6">
        <f t="shared" si="8"/>
        <v>25330.356464968412</v>
      </c>
      <c r="L72" s="6">
        <f t="shared" si="8"/>
        <v>38244.841674964511</v>
      </c>
      <c r="M72" s="6"/>
      <c r="N72" s="6"/>
      <c r="O72" s="6"/>
      <c r="P72" s="6"/>
      <c r="Q72" s="6"/>
      <c r="R72" s="6"/>
      <c r="S72" s="6"/>
      <c r="T72" s="6"/>
    </row>
    <row r="73" spans="3:20">
      <c r="C73" s="2" t="s">
        <v>30</v>
      </c>
      <c r="D73" s="2"/>
      <c r="E73" s="2"/>
      <c r="F73" s="6" t="e">
        <f t="shared" ref="F73:L74" si="9">(F68-F59)*1000</f>
        <v>#REF!</v>
      </c>
      <c r="G73" s="133" t="e">
        <f t="shared" si="9"/>
        <v>#REF!</v>
      </c>
      <c r="H73" s="133" t="e">
        <f t="shared" si="9"/>
        <v>#REF!</v>
      </c>
      <c r="I73" s="133"/>
      <c r="J73" s="133" t="e">
        <f t="shared" si="9"/>
        <v>#REF!</v>
      </c>
      <c r="K73" s="6" t="e">
        <f t="shared" si="9"/>
        <v>#REF!</v>
      </c>
      <c r="L73" s="6" t="e">
        <f t="shared" si="9"/>
        <v>#REF!</v>
      </c>
      <c r="M73" s="6"/>
      <c r="N73" s="6"/>
      <c r="O73" s="6"/>
      <c r="P73" s="6"/>
      <c r="Q73" s="6"/>
      <c r="R73" s="6"/>
      <c r="S73" s="6"/>
      <c r="T73" s="6"/>
    </row>
    <row r="74" spans="3:20">
      <c r="C74" s="2" t="s">
        <v>31</v>
      </c>
      <c r="D74" s="2"/>
      <c r="E74" s="2"/>
      <c r="F74" s="6" t="e">
        <f t="shared" si="9"/>
        <v>#REF!</v>
      </c>
      <c r="G74" s="133" t="e">
        <f t="shared" si="9"/>
        <v>#REF!</v>
      </c>
      <c r="H74" s="133" t="e">
        <f t="shared" si="9"/>
        <v>#REF!</v>
      </c>
      <c r="I74" s="133"/>
      <c r="J74" s="133" t="e">
        <f t="shared" si="9"/>
        <v>#REF!</v>
      </c>
      <c r="K74" s="6" t="e">
        <f t="shared" si="9"/>
        <v>#REF!</v>
      </c>
      <c r="L74" s="6" t="e">
        <f t="shared" si="9"/>
        <v>#REF!</v>
      </c>
      <c r="M74" s="6"/>
      <c r="N74" s="6"/>
      <c r="O74" s="6"/>
      <c r="P74" s="6"/>
      <c r="Q74" s="6"/>
      <c r="R74" s="6"/>
      <c r="S74" s="6"/>
      <c r="T74" s="6"/>
    </row>
  </sheetData>
  <mergeCells count="35">
    <mergeCell ref="V8:X8"/>
    <mergeCell ref="Z8:AB8"/>
    <mergeCell ref="BD8:BF8"/>
    <mergeCell ref="BH8:BJ8"/>
    <mergeCell ref="BL8:BN8"/>
    <mergeCell ref="BP8:BR8"/>
    <mergeCell ref="F19:H19"/>
    <mergeCell ref="J19:L19"/>
    <mergeCell ref="AD8:AF8"/>
    <mergeCell ref="AH8:AJ8"/>
    <mergeCell ref="AL8:AN8"/>
    <mergeCell ref="AP8:AR8"/>
    <mergeCell ref="AT8:AV8"/>
    <mergeCell ref="AX8:AZ8"/>
    <mergeCell ref="F8:H8"/>
    <mergeCell ref="J8:L8"/>
    <mergeCell ref="N8:P8"/>
    <mergeCell ref="R8:T8"/>
    <mergeCell ref="F20:H20"/>
    <mergeCell ref="J20:L20"/>
    <mergeCell ref="N20:P20"/>
    <mergeCell ref="R20:T20"/>
    <mergeCell ref="F43:H43"/>
    <mergeCell ref="J43:L43"/>
    <mergeCell ref="N43:P43"/>
    <mergeCell ref="R43:T43"/>
    <mergeCell ref="BM51:BO51"/>
    <mergeCell ref="BI62:BK62"/>
    <mergeCell ref="BM62:BO62"/>
    <mergeCell ref="AP43:AR43"/>
    <mergeCell ref="F51:H51"/>
    <mergeCell ref="J51:L51"/>
    <mergeCell ref="N51:P51"/>
    <mergeCell ref="R51:T51"/>
    <mergeCell ref="BI51:BK51"/>
  </mergeCells>
  <pageMargins left="0.7" right="0.7" top="0.75" bottom="0.75" header="0.3" footer="0.3"/>
  <pageSetup paperSize="9" orientation="portrait" horizontalDpi="4294967294"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01CF4-D4DD-4257-8D28-D777D92532BF}">
  <dimension ref="A1:BR74"/>
  <sheetViews>
    <sheetView workbookViewId="0"/>
  </sheetViews>
  <sheetFormatPr defaultRowHeight="15"/>
  <cols>
    <col min="1" max="1" width="9.140625" style="9"/>
    <col min="2" max="2" width="15.28515625" style="227" customWidth="1"/>
    <col min="3" max="3" width="12.85546875" customWidth="1"/>
    <col min="4" max="4" width="3.7109375" customWidth="1"/>
    <col min="5" max="5" width="1.85546875" customWidth="1"/>
    <col min="6" max="6" width="13.7109375" style="3" customWidth="1"/>
    <col min="7" max="8" width="13.7109375" style="130" customWidth="1"/>
    <col min="9" max="9" width="3.42578125" style="120" customWidth="1"/>
    <col min="10" max="10" width="13.85546875" style="120" customWidth="1"/>
    <col min="11" max="12" width="13.85546875" customWidth="1"/>
    <col min="13" max="13" width="4.28515625" customWidth="1"/>
    <col min="14" max="14" width="13.5703125" customWidth="1"/>
    <col min="15" max="16" width="13" customWidth="1"/>
    <col min="17" max="17" width="4" customWidth="1"/>
    <col min="18" max="20" width="14.140625" customWidth="1"/>
    <col min="21" max="21" width="4.85546875" customWidth="1"/>
    <col min="22" max="22" width="8.85546875" style="3" customWidth="1"/>
    <col min="23" max="23" width="9.7109375" style="3" customWidth="1"/>
    <col min="24" max="24" width="8.85546875" style="3" customWidth="1"/>
    <col min="25" max="25" width="4.85546875" customWidth="1"/>
    <col min="26" max="26" width="8.85546875" customWidth="1"/>
    <col min="27" max="27" width="10" customWidth="1"/>
    <col min="28" max="28" width="8.85546875" customWidth="1"/>
    <col min="29" max="29" width="4.85546875" customWidth="1"/>
    <col min="30" max="30" width="8.85546875" customWidth="1"/>
    <col min="31" max="32" width="10.28515625" customWidth="1"/>
    <col min="33" max="36" width="10.140625" customWidth="1"/>
    <col min="37" max="37" width="3.5703125" customWidth="1"/>
    <col min="38" max="40" width="13" customWidth="1"/>
    <col min="41" max="41" width="11" customWidth="1"/>
    <col min="42" max="43" width="10.28515625" customWidth="1"/>
    <col min="44" max="46" width="11.28515625" customWidth="1"/>
    <col min="47" max="47" width="10.7109375" customWidth="1"/>
    <col min="48" max="50" width="11" customWidth="1"/>
    <col min="51" max="52" width="8.5703125" customWidth="1"/>
    <col min="59" max="59" width="3.85546875" customWidth="1"/>
    <col min="60" max="60" width="9.42578125" customWidth="1"/>
    <col min="61" max="63" width="9.28515625" customWidth="1"/>
    <col min="64" max="66" width="8.42578125" customWidth="1"/>
    <col min="67" max="67" width="7.140625" customWidth="1"/>
    <col min="68" max="70" width="8.28515625" customWidth="1"/>
  </cols>
  <sheetData>
    <row r="1" spans="1:70">
      <c r="F1" s="249" t="s">
        <v>215</v>
      </c>
      <c r="N1" t="s">
        <v>279</v>
      </c>
      <c r="R1" t="s">
        <v>235</v>
      </c>
      <c r="V1" s="3" t="s">
        <v>129</v>
      </c>
      <c r="Z1" s="3"/>
      <c r="AA1" s="3"/>
      <c r="AB1" s="3"/>
    </row>
    <row r="2" spans="1:70" ht="15.75" thickBot="1">
      <c r="A2"/>
      <c r="B2" s="227" t="s">
        <v>224</v>
      </c>
      <c r="C2" s="2" t="s">
        <v>222</v>
      </c>
      <c r="D2" s="2"/>
      <c r="E2" s="6"/>
      <c r="F2" s="192" t="s">
        <v>22</v>
      </c>
      <c r="G2" s="192" t="s">
        <v>23</v>
      </c>
      <c r="H2" s="192" t="s">
        <v>24</v>
      </c>
      <c r="I2" s="201"/>
      <c r="J2" s="194" t="s">
        <v>228</v>
      </c>
      <c r="K2" s="201" t="s">
        <v>229</v>
      </c>
      <c r="L2" s="201" t="s">
        <v>230</v>
      </c>
      <c r="N2" s="16">
        <f>J3</f>
        <v>139.84863185</v>
      </c>
      <c r="O2" s="16">
        <f>K3</f>
        <v>34.937018260000002</v>
      </c>
      <c r="P2" s="16">
        <f>L3</f>
        <v>126.133</v>
      </c>
      <c r="R2" s="264">
        <f>J4</f>
        <v>139.84818483999999</v>
      </c>
      <c r="S2" s="264">
        <f>K4</f>
        <v>34.93684047</v>
      </c>
      <c r="T2">
        <f>L4</f>
        <v>119.476</v>
      </c>
      <c r="V2" s="3">
        <f>J4</f>
        <v>139.84818483999999</v>
      </c>
      <c r="W2" s="3">
        <f>K4</f>
        <v>34.93684047</v>
      </c>
      <c r="X2" s="3">
        <f>L4</f>
        <v>119.476</v>
      </c>
      <c r="Z2" s="3" t="s">
        <v>216</v>
      </c>
      <c r="AA2" s="3"/>
      <c r="AB2" s="138" t="s">
        <v>217</v>
      </c>
      <c r="AC2" s="54" t="s">
        <v>218</v>
      </c>
      <c r="AD2" s="54"/>
      <c r="AE2" s="54" t="s">
        <v>217</v>
      </c>
      <c r="AF2" s="54" t="s">
        <v>218</v>
      </c>
      <c r="AH2" t="s">
        <v>223</v>
      </c>
    </row>
    <row r="3" spans="1:70">
      <c r="A3"/>
      <c r="B3"/>
      <c r="C3" s="2" t="s">
        <v>279</v>
      </c>
      <c r="D3" s="2"/>
      <c r="E3" s="6"/>
      <c r="F3" s="14">
        <v>-4000983.2080000001</v>
      </c>
      <c r="G3" s="14">
        <v>3375275.9569999999</v>
      </c>
      <c r="H3" s="14">
        <v>3632213.3670000001</v>
      </c>
      <c r="I3" s="201"/>
      <c r="J3" s="262">
        <v>139.84863185</v>
      </c>
      <c r="K3" s="151">
        <v>34.937018260000002</v>
      </c>
      <c r="L3" s="151">
        <v>126.133</v>
      </c>
      <c r="N3" s="265">
        <f>-SIN(RADIANS(N2))</f>
        <v>-0.64480915599333166</v>
      </c>
      <c r="O3" s="266">
        <f>COS(RADIANS(N2))</f>
        <v>-0.76434360882208419</v>
      </c>
      <c r="P3" s="267">
        <v>0</v>
      </c>
      <c r="R3" s="265">
        <f>-SIN(RADIANS(R2))</f>
        <v>-0.64481511922683898</v>
      </c>
      <c r="S3" s="266">
        <f>COS(RADIANS(R2))</f>
        <v>-0.7643385781291413</v>
      </c>
      <c r="T3" s="267">
        <v>0</v>
      </c>
      <c r="V3" s="236">
        <f>-SIN(RADIANS(V2))</f>
        <v>-0.64481511922683898</v>
      </c>
      <c r="W3" s="237">
        <f>COS(RADIANS(V2))</f>
        <v>-0.7643385781291413</v>
      </c>
      <c r="X3" s="238">
        <v>0</v>
      </c>
      <c r="Z3" s="3"/>
      <c r="AA3" s="14" t="s">
        <v>181</v>
      </c>
      <c r="AB3" s="14">
        <v>16.399999999999999</v>
      </c>
      <c r="AC3" s="2">
        <v>-24.3</v>
      </c>
      <c r="AD3" s="2" t="s">
        <v>219</v>
      </c>
      <c r="AE3" s="273">
        <f t="shared" ref="AE3:AF6" si="0">RADIANS(AB3/3600)</f>
        <v>7.9509443701963883E-5</v>
      </c>
      <c r="AF3" s="273">
        <f t="shared" si="0"/>
        <v>-1.1780972450961724E-4</v>
      </c>
      <c r="AG3" s="2" t="s">
        <v>220</v>
      </c>
      <c r="AH3" s="17">
        <v>1</v>
      </c>
      <c r="AI3" s="18">
        <v>0</v>
      </c>
      <c r="AJ3" s="254">
        <f>-AH5</f>
        <v>-6.5934660630896893E-5</v>
      </c>
    </row>
    <row r="4" spans="1:70">
      <c r="A4"/>
      <c r="B4"/>
      <c r="C4" s="2" t="s">
        <v>233</v>
      </c>
      <c r="D4" s="2"/>
      <c r="E4" s="6"/>
      <c r="F4" s="14">
        <v>-4000961.3374999999</v>
      </c>
      <c r="G4" s="14">
        <v>3375310.9358000001</v>
      </c>
      <c r="H4" s="14">
        <v>3632193.3845000002</v>
      </c>
      <c r="I4" s="301"/>
      <c r="J4" s="302">
        <v>139.84818483999999</v>
      </c>
      <c r="K4" s="303">
        <v>34.93684047</v>
      </c>
      <c r="L4" s="303">
        <v>119.476</v>
      </c>
      <c r="N4" s="268">
        <f>-COS(RADIANS(N2))*SIN(RADIANS(O2))</f>
        <v>0.43772097021158068</v>
      </c>
      <c r="O4" s="269">
        <f>-SIN(RADIANS(N2))*SIN(RADIANS(O2))</f>
        <v>-0.36926650017742213</v>
      </c>
      <c r="P4" s="270">
        <f>COS(RADIANS(O2))</f>
        <v>0.81978204669518739</v>
      </c>
      <c r="R4" s="268">
        <f>-COS(RADIANS(R2))*SIN(RADIANS(S2))</f>
        <v>0.43771614492905003</v>
      </c>
      <c r="S4" s="269">
        <f>-SIN(RADIANS(R2))*SIN(RADIANS(S2))</f>
        <v>-0.36926827489302777</v>
      </c>
      <c r="T4" s="270">
        <f>COS(RADIANS(S2))</f>
        <v>0.819783823715727</v>
      </c>
      <c r="V4" s="239">
        <f>-COS(RADIANS(V2))*SIN(RADIANS(W2))</f>
        <v>0.43771614492905003</v>
      </c>
      <c r="W4" s="240">
        <f>-SIN(RADIANS(V2))*SIN(RADIANS(W2))</f>
        <v>-0.36926827489302777</v>
      </c>
      <c r="X4" s="241">
        <f>COS(RADIANS(W2))</f>
        <v>0.819783823715727</v>
      </c>
      <c r="Z4" s="3"/>
      <c r="AA4" s="14" t="s">
        <v>187</v>
      </c>
      <c r="AB4" s="14">
        <v>11.4</v>
      </c>
      <c r="AC4" s="2">
        <v>-17.399999999999999</v>
      </c>
      <c r="AD4" s="2" t="s">
        <v>219</v>
      </c>
      <c r="AE4" s="273">
        <f t="shared" si="0"/>
        <v>5.5268759646487099E-5</v>
      </c>
      <c r="AF4" s="273">
        <f t="shared" si="0"/>
        <v>-8.4357580513059246E-5</v>
      </c>
      <c r="AG4" s="2" t="s">
        <v>220</v>
      </c>
      <c r="AH4" s="20">
        <v>0</v>
      </c>
      <c r="AI4" s="2">
        <v>1</v>
      </c>
      <c r="AJ4" s="255">
        <f>-AI5</f>
        <v>2.1816615649929121E-5</v>
      </c>
    </row>
    <row r="5" spans="1:70" ht="15.75" thickBot="1">
      <c r="A5"/>
      <c r="B5"/>
      <c r="C5" s="2"/>
      <c r="D5" s="2"/>
      <c r="E5" s="6"/>
      <c r="F5" s="14"/>
      <c r="G5" s="14"/>
      <c r="H5" s="14"/>
      <c r="I5" s="201"/>
      <c r="J5" s="194"/>
      <c r="K5" s="151"/>
      <c r="L5" s="151"/>
      <c r="N5" s="222">
        <f>COS(RADIANS(N2))*COS(RADIANS(O2))</f>
        <v>-0.62659516801855386</v>
      </c>
      <c r="O5" s="271">
        <f>SIN(RADIANS(N2))*COS(RADIANS(O2))</f>
        <v>0.52860296962800979</v>
      </c>
      <c r="P5" s="272">
        <f>SIN(RADIANS(O2))</f>
        <v>0.57267564634463863</v>
      </c>
      <c r="R5" s="222">
        <f>COS(RADIANS(R2))*COS(RADIANS(S2))</f>
        <v>-0.6265924021921494</v>
      </c>
      <c r="S5" s="271">
        <f>SIN(RADIANS(R2))*COS(RADIANS(S2))</f>
        <v>0.5286090040294904</v>
      </c>
      <c r="T5" s="272">
        <f>SIN(RADIANS(S2))</f>
        <v>0.57267310254107606</v>
      </c>
      <c r="V5" s="242">
        <f>COS(RADIANS(V2))*COS(RADIANS(W2))</f>
        <v>-0.6265924021921494</v>
      </c>
      <c r="W5" s="243">
        <f>SIN(RADIANS(V2))*COS(RADIANS(W2))</f>
        <v>0.5286090040294904</v>
      </c>
      <c r="X5" s="244">
        <f>SIN(RADIANS(W2))</f>
        <v>0.57267310254107606</v>
      </c>
      <c r="Z5" s="3"/>
      <c r="AA5" s="307" t="s">
        <v>221</v>
      </c>
      <c r="AB5" s="307">
        <v>-1.9</v>
      </c>
      <c r="AC5" s="160">
        <v>-9.3000000000000007</v>
      </c>
      <c r="AD5" s="160" t="s">
        <v>219</v>
      </c>
      <c r="AE5" s="308">
        <f t="shared" si="0"/>
        <v>-9.2114599410811831E-6</v>
      </c>
      <c r="AF5" s="308">
        <f t="shared" si="0"/>
        <v>-4.5087672343186846E-5</v>
      </c>
      <c r="AG5" s="160" t="s">
        <v>220</v>
      </c>
      <c r="AH5" s="252">
        <f>AF6</f>
        <v>6.5934660630896893E-5</v>
      </c>
      <c r="AI5" s="253">
        <f>AE6</f>
        <v>-2.1816615649929121E-5</v>
      </c>
      <c r="AJ5" s="24">
        <v>1</v>
      </c>
    </row>
    <row r="6" spans="1:70">
      <c r="A6"/>
      <c r="B6"/>
      <c r="C6" s="31" t="s">
        <v>233</v>
      </c>
      <c r="E6" s="1"/>
      <c r="F6" s="14"/>
      <c r="G6" s="14"/>
      <c r="H6" s="14"/>
      <c r="I6" s="200"/>
      <c r="J6" s="194"/>
      <c r="K6" s="151"/>
      <c r="L6" s="151"/>
      <c r="Q6" t="s">
        <v>213</v>
      </c>
      <c r="U6" t="s">
        <v>221</v>
      </c>
      <c r="Z6" s="3"/>
      <c r="AA6" s="209" t="s">
        <v>222</v>
      </c>
      <c r="AB6" s="209">
        <v>-4.5</v>
      </c>
      <c r="AC6" s="168">
        <v>13.6</v>
      </c>
      <c r="AD6" s="168" t="s">
        <v>219</v>
      </c>
      <c r="AE6" s="295">
        <f t="shared" si="0"/>
        <v>-2.1816615649929121E-5</v>
      </c>
      <c r="AF6" s="295">
        <f t="shared" si="0"/>
        <v>6.5934660630896893E-5</v>
      </c>
      <c r="AG6" s="168" t="s">
        <v>220</v>
      </c>
    </row>
    <row r="7" spans="1:70" ht="16.5" thickBot="1">
      <c r="B7" s="234" t="s">
        <v>209</v>
      </c>
      <c r="V7" s="3" t="s">
        <v>225</v>
      </c>
      <c r="AL7" s="3" t="s">
        <v>225</v>
      </c>
      <c r="AM7" t="s">
        <v>210</v>
      </c>
      <c r="BD7" t="s">
        <v>211</v>
      </c>
      <c r="BE7" t="s">
        <v>212</v>
      </c>
    </row>
    <row r="8" spans="1:70">
      <c r="A8" s="194" t="s">
        <v>207</v>
      </c>
      <c r="B8" s="232" t="s">
        <v>169</v>
      </c>
      <c r="C8" s="2"/>
      <c r="D8" s="2"/>
      <c r="E8" s="2"/>
      <c r="F8" s="316" t="s">
        <v>10</v>
      </c>
      <c r="G8" s="316"/>
      <c r="H8" s="316"/>
      <c r="I8" s="131"/>
      <c r="J8" s="316" t="s">
        <v>11</v>
      </c>
      <c r="K8" s="316"/>
      <c r="L8" s="316"/>
      <c r="M8" s="2"/>
      <c r="N8" s="316" t="s">
        <v>12</v>
      </c>
      <c r="O8" s="316"/>
      <c r="P8" s="316"/>
      <c r="Q8" s="2"/>
      <c r="R8" s="316" t="s">
        <v>13</v>
      </c>
      <c r="S8" s="316"/>
      <c r="T8" s="316"/>
      <c r="V8" s="317" t="s">
        <v>10</v>
      </c>
      <c r="W8" s="318"/>
      <c r="X8" s="318"/>
      <c r="Y8" s="245"/>
      <c r="Z8" s="318" t="s">
        <v>11</v>
      </c>
      <c r="AA8" s="318"/>
      <c r="AB8" s="318"/>
      <c r="AC8" s="18"/>
      <c r="AD8" s="318" t="s">
        <v>12</v>
      </c>
      <c r="AE8" s="318"/>
      <c r="AF8" s="318"/>
      <c r="AG8" s="18"/>
      <c r="AH8" s="318" t="s">
        <v>13</v>
      </c>
      <c r="AI8" s="318"/>
      <c r="AJ8" s="319"/>
      <c r="AK8" s="256"/>
      <c r="AL8" s="317" t="s">
        <v>10</v>
      </c>
      <c r="AM8" s="318"/>
      <c r="AN8" s="318"/>
      <c r="AO8" s="245"/>
      <c r="AP8" s="318" t="s">
        <v>11</v>
      </c>
      <c r="AQ8" s="318"/>
      <c r="AR8" s="318"/>
      <c r="AS8" s="18"/>
      <c r="AT8" s="318" t="s">
        <v>12</v>
      </c>
      <c r="AU8" s="318"/>
      <c r="AV8" s="318"/>
      <c r="AW8" s="18"/>
      <c r="AX8" s="318" t="s">
        <v>13</v>
      </c>
      <c r="AY8" s="318"/>
      <c r="AZ8" s="319"/>
      <c r="BD8" s="316" t="s">
        <v>10</v>
      </c>
      <c r="BE8" s="316"/>
      <c r="BF8" s="316"/>
      <c r="BG8" s="131"/>
      <c r="BH8" s="316" t="s">
        <v>11</v>
      </c>
      <c r="BI8" s="316"/>
      <c r="BJ8" s="316"/>
      <c r="BK8" s="2"/>
      <c r="BL8" s="316" t="s">
        <v>12</v>
      </c>
      <c r="BM8" s="316"/>
      <c r="BN8" s="316"/>
      <c r="BO8" s="2"/>
      <c r="BP8" s="316" t="s">
        <v>13</v>
      </c>
      <c r="BQ8" s="316"/>
      <c r="BR8" s="316"/>
    </row>
    <row r="9" spans="1:70">
      <c r="A9" s="194"/>
      <c r="B9" s="233"/>
      <c r="C9" s="2"/>
      <c r="D9" s="2"/>
      <c r="E9" s="2"/>
      <c r="F9" s="151" t="s">
        <v>4</v>
      </c>
      <c r="G9" s="152" t="s">
        <v>5</v>
      </c>
      <c r="H9" s="152" t="s">
        <v>6</v>
      </c>
      <c r="I9" s="131"/>
      <c r="J9" s="151" t="s">
        <v>4</v>
      </c>
      <c r="K9" s="152" t="s">
        <v>5</v>
      </c>
      <c r="L9" s="152" t="s">
        <v>6</v>
      </c>
      <c r="M9" s="2"/>
      <c r="N9" s="151" t="s">
        <v>4</v>
      </c>
      <c r="O9" s="152" t="s">
        <v>5</v>
      </c>
      <c r="P9" s="152" t="s">
        <v>6</v>
      </c>
      <c r="Q9" s="2"/>
      <c r="R9" s="151" t="s">
        <v>4</v>
      </c>
      <c r="S9" s="152" t="s">
        <v>5</v>
      </c>
      <c r="T9" s="152" t="s">
        <v>6</v>
      </c>
      <c r="V9" s="246" t="s">
        <v>5</v>
      </c>
      <c r="W9" s="152" t="s">
        <v>4</v>
      </c>
      <c r="X9" s="152" t="s">
        <v>6</v>
      </c>
      <c r="Y9" s="2"/>
      <c r="Z9" s="151" t="s">
        <v>5</v>
      </c>
      <c r="AA9" s="152" t="s">
        <v>4</v>
      </c>
      <c r="AB9" s="152" t="s">
        <v>6</v>
      </c>
      <c r="AC9" s="2"/>
      <c r="AD9" s="151" t="s">
        <v>5</v>
      </c>
      <c r="AE9" s="152" t="s">
        <v>4</v>
      </c>
      <c r="AF9" s="152" t="s">
        <v>6</v>
      </c>
      <c r="AG9" s="2"/>
      <c r="AH9" s="151" t="s">
        <v>5</v>
      </c>
      <c r="AI9" s="152" t="s">
        <v>4</v>
      </c>
      <c r="AJ9" s="247" t="s">
        <v>6</v>
      </c>
      <c r="AK9" s="257"/>
      <c r="AL9" s="246" t="s">
        <v>22</v>
      </c>
      <c r="AM9" s="152" t="s">
        <v>23</v>
      </c>
      <c r="AN9" s="152" t="s">
        <v>24</v>
      </c>
      <c r="AO9" s="131"/>
      <c r="AP9" s="151" t="s">
        <v>22</v>
      </c>
      <c r="AQ9" s="152" t="s">
        <v>23</v>
      </c>
      <c r="AR9" s="152" t="s">
        <v>24</v>
      </c>
      <c r="AS9" s="2"/>
      <c r="AT9" s="151" t="s">
        <v>22</v>
      </c>
      <c r="AU9" s="152" t="s">
        <v>23</v>
      </c>
      <c r="AV9" s="152" t="s">
        <v>24</v>
      </c>
      <c r="AW9" s="2"/>
      <c r="AX9" s="151" t="s">
        <v>22</v>
      </c>
      <c r="AY9" s="152" t="s">
        <v>23</v>
      </c>
      <c r="AZ9" s="247" t="s">
        <v>24</v>
      </c>
      <c r="BD9" s="151" t="s">
        <v>5</v>
      </c>
      <c r="BE9" s="152" t="s">
        <v>4</v>
      </c>
      <c r="BF9" s="152" t="s">
        <v>6</v>
      </c>
      <c r="BG9" s="2"/>
      <c r="BH9" s="151" t="s">
        <v>5</v>
      </c>
      <c r="BI9" s="152" t="s">
        <v>4</v>
      </c>
      <c r="BJ9" s="152" t="s">
        <v>6</v>
      </c>
      <c r="BK9" s="2"/>
      <c r="BL9" s="151" t="s">
        <v>5</v>
      </c>
      <c r="BM9" s="152" t="s">
        <v>4</v>
      </c>
      <c r="BN9" s="152" t="s">
        <v>6</v>
      </c>
      <c r="BO9" s="2"/>
      <c r="BP9" s="151" t="s">
        <v>5</v>
      </c>
      <c r="BQ9" s="152" t="s">
        <v>4</v>
      </c>
      <c r="BR9" s="152" t="s">
        <v>6</v>
      </c>
    </row>
    <row r="10" spans="1:70">
      <c r="A10" s="194" t="s">
        <v>280</v>
      </c>
      <c r="B10" s="233"/>
      <c r="C10" s="14" t="s">
        <v>32</v>
      </c>
      <c r="D10" s="2"/>
      <c r="E10" s="2"/>
      <c r="F10" s="14">
        <v>-0.65800000000000003</v>
      </c>
      <c r="G10" s="14">
        <v>13.3827</v>
      </c>
      <c r="H10" s="14">
        <v>2.0104000000000002</v>
      </c>
      <c r="I10" s="124"/>
      <c r="J10" s="124">
        <v>-0.65759999999999996</v>
      </c>
      <c r="K10" s="14">
        <v>13.381</v>
      </c>
      <c r="L10" s="14">
        <v>2.0118</v>
      </c>
      <c r="M10" s="14"/>
      <c r="N10" s="14">
        <v>-0.65820000000000001</v>
      </c>
      <c r="O10" s="14">
        <v>13.3802</v>
      </c>
      <c r="P10" s="14">
        <v>2.0084</v>
      </c>
      <c r="Q10" s="14"/>
      <c r="R10" s="14">
        <v>-0.65600000000000003</v>
      </c>
      <c r="S10" s="14">
        <v>13.386799999999999</v>
      </c>
      <c r="T10" s="14">
        <v>2.0087000000000002</v>
      </c>
      <c r="V10" s="197">
        <f>BD10</f>
        <v>13.3827</v>
      </c>
      <c r="W10" s="197">
        <f>BE10</f>
        <v>-0.65800000000000003</v>
      </c>
      <c r="X10" s="197">
        <f>BF10</f>
        <v>2.0104000000000002</v>
      </c>
      <c r="Y10" s="14"/>
      <c r="Z10" s="14">
        <f t="array" ref="Z10:AB10">MMULT(BH10:BJ10,TRANSPOSE($AH$3:$AJ$5))</f>
        <v>13.380867352649743</v>
      </c>
      <c r="AA10" s="14">
        <v>-0.65755610933263542</v>
      </c>
      <c r="AB10" s="14">
        <v>2.0126966183003536</v>
      </c>
      <c r="AC10" s="2"/>
      <c r="AD10" s="2">
        <f t="array" ref="AD10:AF10">MMULT(BL10:BN10,TRANSPOSE($AH$3:$AJ$5))</f>
        <v>13.380067576827589</v>
      </c>
      <c r="AE10" s="2">
        <v>-0.65815618350912874</v>
      </c>
      <c r="AF10" s="2">
        <v>2.0092965786425943</v>
      </c>
      <c r="AG10" s="2"/>
      <c r="AH10" s="14">
        <f t="array" ref="AH10:AJ10">MMULT(BP10:BR10,TRANSPOSE($AH$3:$AJ$5))</f>
        <v>13.38666755704719</v>
      </c>
      <c r="AI10" s="14">
        <v>-0.65595617696414399</v>
      </c>
      <c r="AJ10" s="28">
        <v>2.0095969658148003</v>
      </c>
      <c r="AL10" s="27">
        <f t="array" ref="AL10:AN10">MMULT(V10:X10,$V$3:$X$5)</f>
        <v>-10.177085884807429</v>
      </c>
      <c r="AM10" s="124">
        <v>-8.9232198229483597</v>
      </c>
      <c r="AN10" s="124">
        <v>0.61188424934363106</v>
      </c>
      <c r="AO10" s="131"/>
      <c r="AP10" s="27">
        <f t="array" ref="AP10:AR10">MMULT(Z10:AB10,$V$3:$X$5)</f>
        <v>-10.177148911553822</v>
      </c>
      <c r="AQ10" s="124">
        <v>-8.9207689615070436</v>
      </c>
      <c r="AR10" s="124">
        <v>0.61356335525965089</v>
      </c>
      <c r="AS10" s="2"/>
      <c r="AT10" s="27">
        <f t="array" ref="AT10:AV10">MMULT(AD10:AF10,$V$3:$X$5)</f>
        <v>-10.174765427150207</v>
      </c>
      <c r="AU10" s="124">
        <v>-8.9217333652135054</v>
      </c>
      <c r="AV10" s="124">
        <v>0.6111243128971604</v>
      </c>
      <c r="AW10" s="2"/>
      <c r="AX10" s="27">
        <f t="array" ref="AX10:AZ10">MMULT(AH10:AJ10,$V$3:$X$5)</f>
        <v>-10.178246436118535</v>
      </c>
      <c r="AY10" s="124">
        <v>-8.9274315899679326</v>
      </c>
      <c r="AZ10" s="124">
        <v>0.6130998663286783</v>
      </c>
      <c r="BD10" s="14">
        <f>G10</f>
        <v>13.3827</v>
      </c>
      <c r="BE10" s="14">
        <f>F10</f>
        <v>-0.65800000000000003</v>
      </c>
      <c r="BF10" s="14">
        <f>H10</f>
        <v>2.0104000000000002</v>
      </c>
      <c r="BG10" s="2"/>
      <c r="BH10" s="14">
        <f>K10</f>
        <v>13.381</v>
      </c>
      <c r="BI10" s="14">
        <f>J10</f>
        <v>-0.65759999999999996</v>
      </c>
      <c r="BJ10" s="14">
        <f>L10</f>
        <v>2.0118</v>
      </c>
      <c r="BK10" s="2"/>
      <c r="BL10" s="14">
        <f>O10</f>
        <v>13.3802</v>
      </c>
      <c r="BM10" s="14">
        <f>N10</f>
        <v>-0.65820000000000001</v>
      </c>
      <c r="BN10" s="14">
        <f>P10</f>
        <v>2.0084</v>
      </c>
      <c r="BO10" s="2"/>
      <c r="BP10" s="14">
        <f>S10</f>
        <v>13.386799999999999</v>
      </c>
      <c r="BQ10" s="14">
        <f>R10</f>
        <v>-0.65600000000000003</v>
      </c>
      <c r="BR10" s="14">
        <f>T10</f>
        <v>2.0087000000000002</v>
      </c>
    </row>
    <row r="11" spans="1:70">
      <c r="A11" s="194"/>
      <c r="B11" s="233"/>
      <c r="C11" s="14"/>
      <c r="D11" s="2"/>
      <c r="E11" s="2"/>
      <c r="F11" s="14"/>
      <c r="G11" s="124"/>
      <c r="H11" s="124"/>
      <c r="I11" s="124"/>
      <c r="J11" s="124"/>
      <c r="K11" s="14"/>
      <c r="L11" s="14"/>
      <c r="M11" s="14"/>
      <c r="N11" s="14"/>
      <c r="O11" s="14"/>
      <c r="P11" s="14"/>
      <c r="Q11" s="14"/>
      <c r="R11" s="14"/>
      <c r="S11" s="14"/>
      <c r="T11" s="14"/>
      <c r="V11" s="27"/>
      <c r="W11" s="14"/>
      <c r="X11" s="14"/>
      <c r="Y11" s="14"/>
      <c r="Z11" s="14"/>
      <c r="AA11" s="14"/>
      <c r="AB11" s="14"/>
      <c r="AC11" s="2"/>
      <c r="AD11" s="2"/>
      <c r="AE11" s="2"/>
      <c r="AF11" s="2"/>
      <c r="AG11" s="2"/>
      <c r="AH11" s="14"/>
      <c r="AI11" s="14"/>
      <c r="AJ11" s="28"/>
      <c r="AL11" s="20"/>
      <c r="AM11" s="2"/>
      <c r="AN11" s="2"/>
      <c r="AO11" s="2"/>
      <c r="AP11" s="2"/>
      <c r="AQ11" s="2"/>
      <c r="AR11" s="2"/>
      <c r="AS11" s="2"/>
      <c r="AT11" s="2"/>
      <c r="AU11" s="2"/>
      <c r="AV11" s="2"/>
      <c r="AW11" s="2"/>
      <c r="AX11" s="2"/>
      <c r="AY11" s="2"/>
      <c r="AZ11" s="21"/>
      <c r="BD11" s="2"/>
      <c r="BE11" s="2"/>
      <c r="BF11" s="2"/>
      <c r="BG11" s="2"/>
      <c r="BH11" s="2"/>
      <c r="BI11" s="2"/>
      <c r="BJ11" s="2"/>
      <c r="BK11" s="2"/>
      <c r="BL11" s="2"/>
      <c r="BM11" s="2"/>
      <c r="BN11" s="2"/>
      <c r="BO11" s="2"/>
      <c r="BP11" s="2"/>
      <c r="BQ11" s="2"/>
      <c r="BR11" s="2"/>
    </row>
    <row r="12" spans="1:70">
      <c r="A12" s="194">
        <v>7339</v>
      </c>
      <c r="B12" s="233" t="s">
        <v>255</v>
      </c>
      <c r="C12" s="14" t="s">
        <v>139</v>
      </c>
      <c r="D12" s="2"/>
      <c r="E12" s="2"/>
      <c r="F12" s="14">
        <v>4.0758999999999999</v>
      </c>
      <c r="G12" s="14">
        <v>6.0526999999999997</v>
      </c>
      <c r="H12" s="14">
        <v>-2.4485999999999999</v>
      </c>
      <c r="I12" s="124"/>
      <c r="J12" s="124">
        <v>4.0753000000000004</v>
      </c>
      <c r="K12" s="14">
        <v>6.0511999999999997</v>
      </c>
      <c r="L12" s="14">
        <v>-2.4485999999999999</v>
      </c>
      <c r="M12" s="14"/>
      <c r="N12" s="14">
        <v>4.0755999999999997</v>
      </c>
      <c r="O12" s="14">
        <v>6.0518999999999998</v>
      </c>
      <c r="P12" s="14">
        <v>-2.4487999999999999</v>
      </c>
      <c r="Q12" s="14"/>
      <c r="R12" s="14">
        <v>4.0759999999999996</v>
      </c>
      <c r="S12" s="14">
        <v>6.0523999999999996</v>
      </c>
      <c r="T12" s="14">
        <v>-2.4489999999999998</v>
      </c>
      <c r="V12" s="27">
        <f t="array" ref="V12:X12">MMULT(BD12:BF12,TRANSPOSE($AH$3:$AJ$5))</f>
        <v>6.0528614476100202</v>
      </c>
      <c r="W12" s="14">
        <v>4.075846579834919</v>
      </c>
      <c r="X12" s="14">
        <v>-2.4482898396233268</v>
      </c>
      <c r="Y12" s="14"/>
      <c r="Z12" s="14">
        <f t="array" ref="Z12:AB12">MMULT(BH12:BJ12,TRANSPOSE($AH$3:$AJ$5))</f>
        <v>6.0513614476100202</v>
      </c>
      <c r="AA12" s="14">
        <v>4.0752465798349196</v>
      </c>
      <c r="AB12" s="14">
        <v>-2.4482899254353483</v>
      </c>
      <c r="AC12" s="2"/>
      <c r="AD12" s="14">
        <f t="array" ref="AD12:AF12">MMULT(BL12:BN12,TRANSPOSE($AH$3:$AJ$5))</f>
        <v>6.0520614607969527</v>
      </c>
      <c r="AE12" s="14">
        <v>4.0755465754715958</v>
      </c>
      <c r="AF12" s="14">
        <v>-2.4484898858260706</v>
      </c>
      <c r="AG12" s="2"/>
      <c r="AH12" s="14">
        <f t="array" ref="AH12:AJ12">MMULT(BP12:BR12,TRANSPOSE($AH$3:$AJ$5))</f>
        <v>6.0525614739838849</v>
      </c>
      <c r="AI12" s="14">
        <v>4.0759465711082727</v>
      </c>
      <c r="AJ12" s="28">
        <v>-2.4486898615853865</v>
      </c>
      <c r="AK12" s="3"/>
      <c r="AL12" s="27">
        <f t="array" ref="AL12:AN12">MMULT(V12:X12,$V$3:$X$5)</f>
        <v>-0.58483291188438602</v>
      </c>
      <c r="AM12" s="124">
        <v>-7.4257044014420348</v>
      </c>
      <c r="AN12" s="124">
        <v>1.9392433557188542</v>
      </c>
      <c r="AO12" s="2"/>
      <c r="AP12" s="27">
        <f t="array" ref="AP12:AR12">MMULT(Z12:AB12,$V$3:$X$5)</f>
        <v>-0.58412826512334148</v>
      </c>
      <c r="AQ12" s="124">
        <v>-7.4243363779709117</v>
      </c>
      <c r="AR12" s="124">
        <v>1.9387514362823883</v>
      </c>
      <c r="AS12" s="2"/>
      <c r="AT12" s="27">
        <f t="array" ref="AT12:AV12">MMULT(AD12:AF12,$V$3:$X$5)</f>
        <v>-0.58432303761478677</v>
      </c>
      <c r="AU12" s="124">
        <v>-7.4250879047891001</v>
      </c>
      <c r="AV12" s="124">
        <v>1.9388828559151805</v>
      </c>
      <c r="AW12" s="2"/>
      <c r="AX12" s="27">
        <f t="array" ref="AX12:AZ12">MMULT(AH12:AJ12,$V$3:$X$5)</f>
        <v>-0.58434506583804868</v>
      </c>
      <c r="AY12" s="124">
        <v>-7.4257234988431273</v>
      </c>
      <c r="AZ12" s="124">
        <v>1.9390962451291647</v>
      </c>
      <c r="BD12" s="14">
        <f>G12</f>
        <v>6.0526999999999997</v>
      </c>
      <c r="BE12" s="14">
        <f>F12</f>
        <v>4.0758999999999999</v>
      </c>
      <c r="BF12" s="14">
        <f>H12</f>
        <v>-2.4485999999999999</v>
      </c>
      <c r="BG12" s="2"/>
      <c r="BH12" s="14">
        <f>K12</f>
        <v>6.0511999999999997</v>
      </c>
      <c r="BI12" s="14">
        <f>J12</f>
        <v>4.0753000000000004</v>
      </c>
      <c r="BJ12" s="14">
        <f>L12</f>
        <v>-2.4485999999999999</v>
      </c>
      <c r="BK12" s="2"/>
      <c r="BL12" s="14">
        <f>O12</f>
        <v>6.0518999999999998</v>
      </c>
      <c r="BM12" s="14">
        <f>N12</f>
        <v>4.0755999999999997</v>
      </c>
      <c r="BN12" s="14">
        <f>P12</f>
        <v>-2.4487999999999999</v>
      </c>
      <c r="BO12" s="2"/>
      <c r="BP12" s="14">
        <f>S12</f>
        <v>6.0523999999999996</v>
      </c>
      <c r="BQ12" s="14">
        <f>R12</f>
        <v>4.0759999999999996</v>
      </c>
      <c r="BR12" s="14">
        <f>T12</f>
        <v>-2.4489999999999998</v>
      </c>
    </row>
    <row r="13" spans="1:70">
      <c r="A13" s="194">
        <v>7338</v>
      </c>
      <c r="B13" s="233" t="s">
        <v>253</v>
      </c>
      <c r="C13" s="2" t="s">
        <v>281</v>
      </c>
      <c r="D13" s="2"/>
      <c r="E13" s="2"/>
      <c r="F13" s="14">
        <v>14.582700000000001</v>
      </c>
      <c r="G13" s="14">
        <v>50.5959</v>
      </c>
      <c r="H13" s="14">
        <v>4.0631000000000004</v>
      </c>
      <c r="I13" s="124"/>
      <c r="J13" s="124">
        <v>14.5817</v>
      </c>
      <c r="K13" s="14">
        <v>50.595300000000002</v>
      </c>
      <c r="L13" s="14">
        <v>4.0609000000000002</v>
      </c>
      <c r="M13" s="14"/>
      <c r="N13" s="14">
        <v>14.5817</v>
      </c>
      <c r="O13" s="14">
        <v>50.594700000000003</v>
      </c>
      <c r="P13" s="14">
        <v>4.0613999999999999</v>
      </c>
      <c r="Q13" s="14"/>
      <c r="R13" s="14">
        <v>14.5823</v>
      </c>
      <c r="S13" s="14">
        <v>50.596600000000002</v>
      </c>
      <c r="T13" s="14">
        <v>4.0633999999999997</v>
      </c>
      <c r="V13" s="27">
        <f t="array" ref="V13:X13">MMULT(BD13:BF13,TRANSPOSE($AH$3:$AJ$5))</f>
        <v>50.595632100880394</v>
      </c>
      <c r="W13" s="14">
        <v>14.582788643091048</v>
      </c>
      <c r="X13" s="14">
        <v>4.0661178783347767</v>
      </c>
      <c r="Y13" s="14"/>
      <c r="Z13" s="14">
        <f t="array" ref="Z13:AB13">MMULT(BH13:BJ13,TRANSPOSE($AH$3:$AJ$5))</f>
        <v>50.595032245936643</v>
      </c>
      <c r="AA13" s="14">
        <v>14.581788595094492</v>
      </c>
      <c r="AB13" s="14">
        <v>4.0639178605905961</v>
      </c>
      <c r="AC13" s="2"/>
      <c r="AD13" s="14">
        <f t="array" ref="AD13:AF13">MMULT(BL13:BN13,TRANSPOSE($AH$3:$AJ$5))</f>
        <v>50.594432212969316</v>
      </c>
      <c r="AE13" s="14">
        <v>14.581788606002799</v>
      </c>
      <c r="AF13" s="14">
        <v>4.0644178210297994</v>
      </c>
      <c r="AG13" s="2"/>
      <c r="AH13" s="14">
        <f t="array" ref="AH13:AJ13">MMULT(BP13:BR13,TRANSPOSE($AH$3:$AJ$5))</f>
        <v>50.596332081099995</v>
      </c>
      <c r="AI13" s="14">
        <v>14.582388649636032</v>
      </c>
      <c r="AJ13" s="28">
        <v>4.0664179332156847</v>
      </c>
      <c r="AK13" s="3"/>
      <c r="AL13" s="27">
        <f t="array" ref="AL13:AN13">MMULT(V13:X13,$V$3:$X$5)</f>
        <v>-28.789505087299762</v>
      </c>
      <c r="AM13" s="124">
        <v>-41.907768182962869</v>
      </c>
      <c r="AN13" s="124">
        <v>14.283290574955172</v>
      </c>
      <c r="AO13" s="2"/>
      <c r="AP13" s="27">
        <f t="array" ref="AP13:AR13">MMULT(Z13:AB13,$V$3:$X$5)</f>
        <v>-28.78817751451329</v>
      </c>
      <c r="AQ13" s="124">
        <v>-41.90810335387819</v>
      </c>
      <c r="AR13" s="124">
        <v>14.281210860797451</v>
      </c>
      <c r="AS13" s="2"/>
      <c r="AT13" s="27">
        <f t="array" ref="AT13:AV13">MMULT(AD13:AF13,$V$3:$X$5)</f>
        <v>-28.788103870821782</v>
      </c>
      <c r="AU13" s="124">
        <v>-41.907380445971384</v>
      </c>
      <c r="AV13" s="124">
        <v>14.28149718363577</v>
      </c>
      <c r="AW13" s="2"/>
      <c r="AX13" s="27">
        <f t="array" ref="AX13:AZ13">MMULT(AH13:AJ13,$V$3:$X$5)</f>
        <v>-28.790319540830261</v>
      </c>
      <c r="AY13" s="124">
        <v>-41.907996888243794</v>
      </c>
      <c r="AZ13" s="124">
        <v>14.283134500150741</v>
      </c>
      <c r="BD13" s="14">
        <f>G13</f>
        <v>50.5959</v>
      </c>
      <c r="BE13" s="14">
        <f>F13</f>
        <v>14.582700000000001</v>
      </c>
      <c r="BF13" s="14">
        <f>H13</f>
        <v>4.0631000000000004</v>
      </c>
      <c r="BG13" s="2"/>
      <c r="BH13" s="14">
        <f>K13</f>
        <v>50.595300000000002</v>
      </c>
      <c r="BI13" s="14">
        <f>J13</f>
        <v>14.5817</v>
      </c>
      <c r="BJ13" s="14">
        <f>L13</f>
        <v>4.0609000000000002</v>
      </c>
      <c r="BK13" s="2"/>
      <c r="BL13" s="14">
        <f>O13</f>
        <v>50.594700000000003</v>
      </c>
      <c r="BM13" s="14">
        <f>N13</f>
        <v>14.5817</v>
      </c>
      <c r="BN13" s="14">
        <f>P13</f>
        <v>4.0613999999999999</v>
      </c>
      <c r="BO13" s="2"/>
      <c r="BP13" s="14">
        <f>S13</f>
        <v>50.596600000000002</v>
      </c>
      <c r="BQ13" s="14">
        <f>R13</f>
        <v>14.5823</v>
      </c>
      <c r="BR13" s="14">
        <f>T13</f>
        <v>4.0633999999999997</v>
      </c>
    </row>
    <row r="14" spans="1:70">
      <c r="A14" s="194"/>
      <c r="B14" s="233"/>
      <c r="C14" s="2"/>
      <c r="D14" s="2"/>
      <c r="E14" s="2"/>
      <c r="F14" s="14"/>
      <c r="G14" s="124"/>
      <c r="H14" s="124"/>
      <c r="I14" s="124"/>
      <c r="J14" s="124"/>
      <c r="K14" s="14"/>
      <c r="L14" s="14"/>
      <c r="M14" s="14"/>
      <c r="N14" s="14"/>
      <c r="O14" s="14"/>
      <c r="P14" s="14"/>
      <c r="Q14" s="14"/>
      <c r="R14" s="14"/>
      <c r="S14" s="14"/>
      <c r="T14" s="14"/>
      <c r="V14" s="27"/>
      <c r="W14" s="14"/>
      <c r="X14" s="14"/>
      <c r="Y14" s="2"/>
      <c r="Z14" s="2"/>
      <c r="AA14" s="2"/>
      <c r="AB14" s="2"/>
      <c r="AC14" s="2"/>
      <c r="AD14" s="2"/>
      <c r="AE14" s="2"/>
      <c r="AF14" s="2"/>
      <c r="AG14" s="2"/>
      <c r="AH14" s="2"/>
      <c r="AI14" s="2"/>
      <c r="AJ14" s="21"/>
      <c r="AL14" s="20"/>
      <c r="AM14" s="2"/>
      <c r="AN14" s="2"/>
      <c r="AO14" s="2"/>
      <c r="AP14" s="2"/>
      <c r="AQ14" s="2"/>
      <c r="AR14" s="2"/>
      <c r="AS14" s="2"/>
      <c r="AT14" s="2"/>
      <c r="AU14" s="2"/>
      <c r="AV14" s="2"/>
      <c r="AW14" s="2"/>
      <c r="AX14" s="2"/>
      <c r="AY14" s="2"/>
      <c r="AZ14" s="21"/>
      <c r="BD14" s="2"/>
      <c r="BE14" s="2"/>
      <c r="BF14" s="2"/>
      <c r="BG14" s="2"/>
      <c r="BH14" s="2"/>
      <c r="BI14" s="2"/>
      <c r="BJ14" s="2"/>
      <c r="BK14" s="2"/>
      <c r="BL14" s="2"/>
      <c r="BM14" s="2"/>
      <c r="BN14" s="2"/>
      <c r="BO14" s="2"/>
      <c r="BP14" s="2"/>
      <c r="BQ14" s="2"/>
      <c r="BR14" s="2"/>
    </row>
    <row r="15" spans="1:70">
      <c r="B15" s="233" t="s">
        <v>254</v>
      </c>
      <c r="C15" s="2" t="s">
        <v>21</v>
      </c>
      <c r="D15" s="2"/>
      <c r="E15" s="2"/>
      <c r="F15" s="151" t="s">
        <v>206</v>
      </c>
      <c r="G15" s="151" t="s">
        <v>206</v>
      </c>
      <c r="H15" s="151" t="s">
        <v>206</v>
      </c>
      <c r="I15" s="124"/>
      <c r="J15" s="124">
        <v>-5.0807000000000002</v>
      </c>
      <c r="K15" s="14">
        <v>16.5824</v>
      </c>
      <c r="L15" s="14">
        <v>3.7623000000000002</v>
      </c>
      <c r="M15" s="14"/>
      <c r="N15" s="151" t="s">
        <v>206</v>
      </c>
      <c r="O15" s="151" t="s">
        <v>206</v>
      </c>
      <c r="P15" s="151" t="s">
        <v>206</v>
      </c>
      <c r="Q15" s="151"/>
      <c r="R15" s="151" t="s">
        <v>206</v>
      </c>
      <c r="S15" s="151" t="s">
        <v>206</v>
      </c>
      <c r="T15" s="151" t="s">
        <v>206</v>
      </c>
      <c r="V15" s="197" t="str">
        <f>BD15</f>
        <v>-</v>
      </c>
      <c r="W15" s="197" t="str">
        <f>BE15</f>
        <v>-</v>
      </c>
      <c r="X15" s="197" t="str">
        <f>BF15</f>
        <v>-</v>
      </c>
      <c r="Y15" s="2"/>
      <c r="Z15" s="14">
        <f t="array" ref="Z15:AB15">MMULT(BH15:BJ15,TRANSPOSE($AH$3:$AJ$5))</f>
        <v>16.582151934026307</v>
      </c>
      <c r="AA15" s="14">
        <v>-5.0806179193469401</v>
      </c>
      <c r="AB15" s="14">
        <v>3.7635041985955784</v>
      </c>
      <c r="AC15" s="2"/>
      <c r="AD15" s="197" t="str">
        <f t="shared" ref="AD15:AF16" si="1">BL15</f>
        <v>-</v>
      </c>
      <c r="AE15" s="197" t="str">
        <f t="shared" si="1"/>
        <v>-</v>
      </c>
      <c r="AF15" s="197" t="str">
        <f t="shared" si="1"/>
        <v>-</v>
      </c>
      <c r="AG15" s="2"/>
      <c r="AH15" s="197" t="str">
        <f t="shared" ref="AH15:AJ16" si="2">BP15</f>
        <v>-</v>
      </c>
      <c r="AI15" s="197" t="str">
        <f t="shared" si="2"/>
        <v>-</v>
      </c>
      <c r="AJ15" s="259" t="str">
        <f t="shared" si="2"/>
        <v>-</v>
      </c>
      <c r="AK15" s="198"/>
      <c r="AL15" s="27"/>
      <c r="AM15" s="124"/>
      <c r="AN15" s="124"/>
      <c r="AO15" s="2"/>
      <c r="AP15" s="27">
        <f t="array" ref="AP15:AR15">MMULT(Z15:AB15,$V$3:$X$5)</f>
        <v>-15.274473902348969</v>
      </c>
      <c r="AQ15" s="124">
        <v>-8.8088452110267941</v>
      </c>
      <c r="AR15" s="124">
        <v>-2.0097507589247798</v>
      </c>
      <c r="AS15" s="2"/>
      <c r="AT15" s="2"/>
      <c r="AU15" s="2"/>
      <c r="AV15" s="2"/>
      <c r="AW15" s="2"/>
      <c r="AX15" s="2"/>
      <c r="AY15" s="2"/>
      <c r="AZ15" s="21"/>
      <c r="BD15" s="14" t="str">
        <f>G15</f>
        <v>-</v>
      </c>
      <c r="BE15" s="14" t="str">
        <f>F15</f>
        <v>-</v>
      </c>
      <c r="BF15" s="14" t="str">
        <f>H15</f>
        <v>-</v>
      </c>
      <c r="BG15" s="2"/>
      <c r="BH15" s="14">
        <f>K15</f>
        <v>16.5824</v>
      </c>
      <c r="BI15" s="14">
        <f>J15</f>
        <v>-5.0807000000000002</v>
      </c>
      <c r="BJ15" s="14">
        <f>L15</f>
        <v>3.7623000000000002</v>
      </c>
      <c r="BK15" s="2"/>
      <c r="BL15" s="14" t="str">
        <f>O15</f>
        <v>-</v>
      </c>
      <c r="BM15" s="14" t="str">
        <f>N15</f>
        <v>-</v>
      </c>
      <c r="BN15" s="14" t="str">
        <f>P15</f>
        <v>-</v>
      </c>
      <c r="BO15" s="2"/>
      <c r="BP15" s="14" t="str">
        <f>S15</f>
        <v>-</v>
      </c>
      <c r="BQ15" s="14" t="str">
        <f>R15</f>
        <v>-</v>
      </c>
      <c r="BR15" s="14" t="str">
        <f>T15</f>
        <v>-</v>
      </c>
    </row>
    <row r="16" spans="1:70" ht="15.75" thickBot="1">
      <c r="A16" s="194"/>
      <c r="B16" s="233"/>
      <c r="C16" s="2" t="s">
        <v>37</v>
      </c>
      <c r="D16" s="2"/>
      <c r="E16" s="2"/>
      <c r="F16" s="14"/>
      <c r="G16" s="124"/>
      <c r="H16" s="124"/>
      <c r="I16" s="124"/>
      <c r="J16" s="124"/>
      <c r="K16" s="14"/>
      <c r="L16" s="14"/>
      <c r="M16" s="14"/>
      <c r="N16" s="151" t="s">
        <v>206</v>
      </c>
      <c r="O16" s="151" t="s">
        <v>206</v>
      </c>
      <c r="P16" s="151" t="s">
        <v>206</v>
      </c>
      <c r="Q16" s="151"/>
      <c r="R16" s="151" t="s">
        <v>206</v>
      </c>
      <c r="S16" s="151" t="s">
        <v>206</v>
      </c>
      <c r="T16" s="151" t="s">
        <v>206</v>
      </c>
      <c r="V16" s="45"/>
      <c r="W16" s="29"/>
      <c r="X16" s="29"/>
      <c r="Y16" s="23"/>
      <c r="Z16" s="29"/>
      <c r="AA16" s="29"/>
      <c r="AB16" s="29"/>
      <c r="AC16" s="23"/>
      <c r="AD16" s="260" t="str">
        <f t="shared" si="1"/>
        <v>-</v>
      </c>
      <c r="AE16" s="260" t="str">
        <f t="shared" si="1"/>
        <v>-</v>
      </c>
      <c r="AF16" s="260" t="str">
        <f t="shared" si="1"/>
        <v>-</v>
      </c>
      <c r="AG16" s="23"/>
      <c r="AH16" s="260" t="str">
        <f t="shared" si="2"/>
        <v>-</v>
      </c>
      <c r="AI16" s="260" t="str">
        <f t="shared" si="2"/>
        <v>-</v>
      </c>
      <c r="AJ16" s="261" t="str">
        <f t="shared" si="2"/>
        <v>-</v>
      </c>
      <c r="AK16" s="258"/>
      <c r="AL16" s="27"/>
      <c r="AM16" s="124"/>
      <c r="AN16" s="124"/>
      <c r="AO16" s="23"/>
      <c r="AP16" s="27"/>
      <c r="AQ16" s="124"/>
      <c r="AR16" s="124"/>
      <c r="AS16" s="23"/>
      <c r="AT16" s="23"/>
      <c r="AU16" s="23"/>
      <c r="AV16" s="23"/>
      <c r="AW16" s="23"/>
      <c r="AX16" s="23"/>
      <c r="AY16" s="23"/>
      <c r="AZ16" s="24"/>
      <c r="BD16" s="14"/>
      <c r="BE16" s="14"/>
      <c r="BF16" s="14"/>
      <c r="BG16" s="2"/>
      <c r="BH16" s="14"/>
      <c r="BI16" s="14"/>
      <c r="BJ16" s="14"/>
      <c r="BK16" s="2"/>
      <c r="BL16" s="14" t="str">
        <f>O16</f>
        <v>-</v>
      </c>
      <c r="BM16" s="14" t="str">
        <f>N16</f>
        <v>-</v>
      </c>
      <c r="BN16" s="14" t="str">
        <f>P16</f>
        <v>-</v>
      </c>
      <c r="BO16" s="2"/>
      <c r="BP16" s="14" t="str">
        <f>S16</f>
        <v>-</v>
      </c>
      <c r="BQ16" s="14" t="str">
        <f>R16</f>
        <v>-</v>
      </c>
      <c r="BR16" s="14" t="str">
        <f>T16</f>
        <v>-</v>
      </c>
    </row>
    <row r="17" spans="1:45">
      <c r="B17" s="229"/>
      <c r="C17" s="7"/>
      <c r="D17" s="7"/>
      <c r="E17" s="7"/>
      <c r="F17" s="16"/>
      <c r="G17" s="129"/>
      <c r="H17" s="129"/>
      <c r="I17" s="134"/>
      <c r="J17" s="134"/>
      <c r="K17" s="7"/>
      <c r="L17" s="7"/>
      <c r="M17" s="7"/>
      <c r="N17" s="7"/>
      <c r="O17" s="7"/>
      <c r="P17" s="7"/>
      <c r="Q17" s="7"/>
      <c r="R17" s="7"/>
      <c r="S17" s="7"/>
      <c r="T17" s="7"/>
    </row>
    <row r="18" spans="1:45" ht="15.75" thickBot="1">
      <c r="B18" s="230"/>
      <c r="C18" s="36"/>
      <c r="D18" s="36"/>
      <c r="E18" s="36"/>
      <c r="F18" s="223"/>
      <c r="G18" s="224"/>
      <c r="H18" s="224"/>
      <c r="I18" s="225"/>
      <c r="J18" s="225"/>
      <c r="K18" s="36"/>
      <c r="L18" s="36"/>
      <c r="M18" s="36"/>
      <c r="N18" s="36"/>
      <c r="O18" s="36"/>
      <c r="P18" s="36"/>
      <c r="Q18" s="36"/>
      <c r="R18" s="36"/>
      <c r="S18" s="36"/>
      <c r="T18" s="36"/>
    </row>
    <row r="19" spans="1:45" ht="17.25" thickTop="1" thickBot="1">
      <c r="B19" s="235" t="s">
        <v>209</v>
      </c>
      <c r="F19" s="320" t="s">
        <v>61</v>
      </c>
      <c r="G19" s="320"/>
      <c r="H19" s="320"/>
      <c r="J19" s="321"/>
      <c r="K19" s="321"/>
      <c r="L19" s="321"/>
    </row>
    <row r="20" spans="1:45" ht="19.5" thickBot="1">
      <c r="B20" s="228" t="s">
        <v>169</v>
      </c>
      <c r="F20" s="316" t="s">
        <v>10</v>
      </c>
      <c r="G20" s="316"/>
      <c r="H20" s="316"/>
      <c r="J20" s="322" t="s">
        <v>11</v>
      </c>
      <c r="K20" s="323"/>
      <c r="L20" s="324"/>
      <c r="N20" s="322" t="s">
        <v>12</v>
      </c>
      <c r="O20" s="323"/>
      <c r="P20" s="324"/>
      <c r="R20" s="322" t="s">
        <v>13</v>
      </c>
      <c r="S20" s="323"/>
      <c r="T20" s="324"/>
      <c r="AM20" s="135"/>
      <c r="AN20" s="182" t="s">
        <v>110</v>
      </c>
      <c r="AO20" s="136"/>
    </row>
    <row r="21" spans="1:45" ht="15.75" thickBot="1">
      <c r="C21" s="2"/>
      <c r="D21" s="2"/>
      <c r="E21" s="2"/>
      <c r="F21" s="14" t="s">
        <v>22</v>
      </c>
      <c r="G21" s="124" t="s">
        <v>23</v>
      </c>
      <c r="H21" s="124" t="s">
        <v>24</v>
      </c>
      <c r="I21" s="131"/>
      <c r="J21" s="124" t="s">
        <v>22</v>
      </c>
      <c r="K21" s="14" t="s">
        <v>23</v>
      </c>
      <c r="L21" s="14" t="s">
        <v>24</v>
      </c>
      <c r="N21" s="14" t="s">
        <v>22</v>
      </c>
      <c r="O21" s="14" t="s">
        <v>23</v>
      </c>
      <c r="P21" s="14" t="s">
        <v>24</v>
      </c>
      <c r="R21" s="14" t="s">
        <v>22</v>
      </c>
      <c r="S21" s="14" t="s">
        <v>23</v>
      </c>
      <c r="T21" s="14" t="s">
        <v>24</v>
      </c>
      <c r="AM21" s="137" t="s">
        <v>22</v>
      </c>
      <c r="AN21" s="137" t="s">
        <v>23</v>
      </c>
      <c r="AO21" s="137" t="s">
        <v>24</v>
      </c>
      <c r="AP21" s="138" t="s">
        <v>111</v>
      </c>
      <c r="AQ21" s="138" t="s">
        <v>112</v>
      </c>
      <c r="AR21" s="138" t="s">
        <v>113</v>
      </c>
      <c r="AS21" s="142" t="s">
        <v>128</v>
      </c>
    </row>
    <row r="22" spans="1:45">
      <c r="A22" s="9" t="str">
        <f>A10</f>
        <v>TATL</v>
      </c>
      <c r="B22" s="233" t="s">
        <v>254</v>
      </c>
      <c r="C22" s="2" t="s">
        <v>21</v>
      </c>
      <c r="D22" s="2"/>
      <c r="E22" s="2"/>
      <c r="F22" s="124"/>
      <c r="G22" s="124"/>
      <c r="H22" s="124"/>
      <c r="I22" s="131"/>
      <c r="J22" s="124">
        <v>-4000969.8642000002</v>
      </c>
      <c r="K22" s="124">
        <v>3375309.0153000001</v>
      </c>
      <c r="L22" s="124">
        <v>3632196.8851999999</v>
      </c>
      <c r="N22" s="14"/>
      <c r="O22" s="14"/>
      <c r="P22" s="14"/>
      <c r="R22" s="14"/>
      <c r="S22" s="14"/>
      <c r="T22" s="14"/>
      <c r="AL22" s="2" t="s">
        <v>21</v>
      </c>
      <c r="AM22" s="17">
        <v>-3997525.3376000002</v>
      </c>
      <c r="AN22" s="18">
        <v>3276870.9400999998</v>
      </c>
      <c r="AO22" s="18">
        <v>3724218.4833999998</v>
      </c>
      <c r="AP22" s="18">
        <v>2.1999999999999999E-2</v>
      </c>
      <c r="AQ22" s="18">
        <v>1.9699999999999999E-2</v>
      </c>
      <c r="AR22" s="19">
        <v>5.9999999999999995E-4</v>
      </c>
      <c r="AS22" s="143">
        <v>2002</v>
      </c>
    </row>
    <row r="23" spans="1:45">
      <c r="C23" s="2"/>
      <c r="D23" s="2"/>
      <c r="E23" s="2"/>
      <c r="F23" s="124"/>
      <c r="G23" s="124"/>
      <c r="H23" s="124"/>
      <c r="I23" s="131"/>
      <c r="J23" s="124"/>
      <c r="K23" s="124"/>
      <c r="L23" s="124"/>
      <c r="N23" s="14"/>
      <c r="O23" s="14"/>
      <c r="P23" s="14"/>
      <c r="R23" s="14"/>
      <c r="S23" s="14"/>
      <c r="T23" s="14"/>
      <c r="AL23" s="2"/>
      <c r="AM23" s="20"/>
      <c r="AN23" s="2"/>
      <c r="AO23" s="2"/>
      <c r="AP23" s="2"/>
      <c r="AQ23" s="2"/>
      <c r="AR23" s="21"/>
    </row>
    <row r="24" spans="1:45">
      <c r="A24" s="9">
        <f>A13</f>
        <v>7338</v>
      </c>
      <c r="B24" s="233" t="s">
        <v>253</v>
      </c>
      <c r="C24" s="2" t="s">
        <v>281</v>
      </c>
      <c r="D24" s="2"/>
      <c r="E24" s="2"/>
      <c r="F24" s="124">
        <v>-4000983.3780999999</v>
      </c>
      <c r="G24" s="124">
        <v>3375275.9153999998</v>
      </c>
      <c r="H24" s="124">
        <v>3632213.1771999998</v>
      </c>
      <c r="I24" s="131"/>
      <c r="J24" s="124">
        <v>-4000983.3768000002</v>
      </c>
      <c r="K24" s="124">
        <v>3375275.9150999999</v>
      </c>
      <c r="L24" s="124">
        <v>3632213.1751000001</v>
      </c>
      <c r="N24" s="124">
        <v>-4000983.3766999999</v>
      </c>
      <c r="O24" s="124">
        <v>3375275.9158000001</v>
      </c>
      <c r="P24" s="124">
        <v>3632213.1754000001</v>
      </c>
      <c r="R24" s="124">
        <v>-4000983.3788999999</v>
      </c>
      <c r="S24" s="124">
        <v>3375275.9152000002</v>
      </c>
      <c r="T24" s="124">
        <v>3632213.1770000001</v>
      </c>
      <c r="AL24" s="2" t="s">
        <v>25</v>
      </c>
      <c r="AM24" s="20">
        <v>-3997505.6746999999</v>
      </c>
      <c r="AN24" s="2">
        <v>3276878.4849999999</v>
      </c>
      <c r="AO24" s="2">
        <v>3724240.6150000002</v>
      </c>
      <c r="AP24" s="2">
        <v>4.1999999999999997E-3</v>
      </c>
      <c r="AQ24" s="2">
        <v>4.7999999999999996E-3</v>
      </c>
      <c r="AR24" s="21">
        <v>2.5000000000000001E-3</v>
      </c>
      <c r="AS24" s="143">
        <v>2000</v>
      </c>
    </row>
    <row r="25" spans="1:45">
      <c r="C25" s="2"/>
      <c r="D25" s="2"/>
      <c r="E25" s="2"/>
      <c r="F25" s="124"/>
      <c r="G25" s="124"/>
      <c r="H25" s="124"/>
      <c r="I25" s="131"/>
      <c r="J25" s="124"/>
      <c r="K25" s="124"/>
      <c r="L25" s="124"/>
      <c r="N25" s="124"/>
      <c r="O25" s="124"/>
      <c r="P25" s="124"/>
      <c r="R25" s="124"/>
      <c r="S25" s="124"/>
      <c r="T25" s="124"/>
      <c r="AL25" s="2"/>
      <c r="AM25" s="20"/>
      <c r="AN25" s="2"/>
      <c r="AO25" s="2"/>
      <c r="AP25" s="2"/>
      <c r="AQ25" s="2"/>
      <c r="AR25" s="21"/>
    </row>
    <row r="26" spans="1:45" ht="15.75" thickBot="1">
      <c r="C26" s="14" t="s">
        <v>32</v>
      </c>
      <c r="D26" s="14"/>
      <c r="E26" s="14"/>
      <c r="F26" s="124">
        <v>-4000964.7672999999</v>
      </c>
      <c r="G26" s="124">
        <v>3375308.9016999998</v>
      </c>
      <c r="H26" s="124">
        <v>3632199.5076000001</v>
      </c>
      <c r="I26" s="124" t="s">
        <v>272</v>
      </c>
      <c r="J26" s="124">
        <v>-4000964.7669000002</v>
      </c>
      <c r="K26" s="124">
        <v>3375308.9035999998</v>
      </c>
      <c r="L26" s="124">
        <v>3632199.5087000001</v>
      </c>
      <c r="N26" s="124">
        <v>-4000964.7645</v>
      </c>
      <c r="O26" s="124">
        <v>3375308.9027</v>
      </c>
      <c r="P26" s="124">
        <v>3632199.5063</v>
      </c>
      <c r="R26" s="124">
        <v>-4000964.7680000002</v>
      </c>
      <c r="S26" s="124">
        <v>3375308.8969000001</v>
      </c>
      <c r="T26" s="124">
        <v>3632199.5082999999</v>
      </c>
      <c r="AL26" s="14" t="s">
        <v>32</v>
      </c>
      <c r="AM26" s="22">
        <v>-3997484.3454</v>
      </c>
      <c r="AN26" s="23">
        <v>3276846.8388</v>
      </c>
      <c r="AO26" s="23">
        <v>3724296.5296</v>
      </c>
      <c r="AP26" s="23">
        <v>2.3300000000000001E-2</v>
      </c>
      <c r="AQ26" s="23">
        <v>2.5000000000000001E-2</v>
      </c>
      <c r="AR26" s="24">
        <v>1.95E-2</v>
      </c>
      <c r="AS26" s="143">
        <v>2000</v>
      </c>
    </row>
    <row r="27" spans="1:45">
      <c r="C27" s="14"/>
      <c r="D27" s="16"/>
      <c r="E27" s="16"/>
      <c r="F27" s="124"/>
      <c r="G27" s="124"/>
      <c r="H27" s="124"/>
      <c r="I27" s="129" t="s">
        <v>271</v>
      </c>
      <c r="J27" s="124"/>
      <c r="K27" s="124"/>
      <c r="L27" s="124"/>
      <c r="N27" s="124"/>
      <c r="O27" s="124"/>
      <c r="P27" s="124"/>
      <c r="R27" s="124"/>
      <c r="S27" s="124"/>
      <c r="T27" s="124"/>
      <c r="AL27" s="16"/>
      <c r="AM27" s="7"/>
      <c r="AN27" s="7"/>
      <c r="AO27" s="7"/>
      <c r="AP27" s="7"/>
      <c r="AQ27" s="7"/>
      <c r="AR27" s="7"/>
      <c r="AS27" s="31"/>
    </row>
    <row r="28" spans="1:45">
      <c r="A28" s="9">
        <f>A12</f>
        <v>7339</v>
      </c>
      <c r="B28" s="233" t="s">
        <v>255</v>
      </c>
      <c r="C28" s="14" t="s">
        <v>139</v>
      </c>
      <c r="D28" s="16"/>
      <c r="E28" s="16"/>
      <c r="F28" s="124">
        <v>-4000955.1748000002</v>
      </c>
      <c r="G28" s="124">
        <v>3375310.3991</v>
      </c>
      <c r="H28" s="124">
        <v>3632200.8347999998</v>
      </c>
      <c r="I28" s="129"/>
      <c r="J28" s="124">
        <v>-4000955.1743000001</v>
      </c>
      <c r="K28" s="124">
        <v>3375310.4001000002</v>
      </c>
      <c r="L28" s="124">
        <v>3632200.8343000002</v>
      </c>
      <c r="N28" s="124">
        <v>-4000955.1741999998</v>
      </c>
      <c r="O28" s="124">
        <v>3375310.3997999998</v>
      </c>
      <c r="P28" s="124">
        <v>3632200.8344000001</v>
      </c>
      <c r="R28" s="124">
        <v>-4000955.1743000001</v>
      </c>
      <c r="S28" s="124">
        <v>3375310.3991</v>
      </c>
      <c r="T28" s="124">
        <v>3632200.8346000002</v>
      </c>
      <c r="AL28" s="16"/>
      <c r="AM28" s="7"/>
      <c r="AN28" s="7"/>
      <c r="AO28" s="7"/>
      <c r="AP28" s="7"/>
      <c r="AQ28" s="7"/>
      <c r="AR28" s="7"/>
      <c r="AS28" s="31"/>
    </row>
    <row r="29" spans="1:45">
      <c r="C29" s="16"/>
      <c r="D29" s="16"/>
      <c r="E29" s="16"/>
      <c r="F29" s="16" t="s">
        <v>69</v>
      </c>
      <c r="G29" s="129" t="s">
        <v>70</v>
      </c>
      <c r="H29" s="129" t="s">
        <v>71</v>
      </c>
      <c r="I29" s="129"/>
      <c r="J29" s="129"/>
      <c r="K29" s="16"/>
      <c r="L29" s="16"/>
      <c r="N29" s="16"/>
      <c r="O29" s="16"/>
      <c r="P29" s="16"/>
      <c r="R29" s="16"/>
      <c r="S29" s="16"/>
      <c r="T29" s="16"/>
    </row>
    <row r="30" spans="1:45" ht="15.75" thickBot="1">
      <c r="C30" s="16" t="s">
        <v>68</v>
      </c>
      <c r="D30" s="16"/>
      <c r="E30" s="16"/>
      <c r="F30" s="16">
        <f>J4</f>
        <v>139.84818483999999</v>
      </c>
      <c r="G30" s="16">
        <f>K4</f>
        <v>34.93684047</v>
      </c>
      <c r="H30" s="16">
        <f>L4</f>
        <v>119.476</v>
      </c>
      <c r="I30" s="129" t="s">
        <v>15</v>
      </c>
      <c r="J30" s="152" t="s">
        <v>189</v>
      </c>
      <c r="K30" s="14" t="s">
        <v>188</v>
      </c>
      <c r="L30" s="14"/>
      <c r="N30" s="16"/>
      <c r="O30" s="16"/>
      <c r="P30" s="16"/>
      <c r="R30" s="16"/>
      <c r="S30" s="16"/>
      <c r="T30" s="16"/>
    </row>
    <row r="31" spans="1:45">
      <c r="C31" s="16"/>
      <c r="D31" s="16"/>
      <c r="E31" s="16" t="s">
        <v>46</v>
      </c>
      <c r="F31" s="236">
        <f>-SIN(RADIANS(F30))</f>
        <v>-0.64481511922683898</v>
      </c>
      <c r="G31" s="237">
        <f>COS(RADIANS(F30))</f>
        <v>-0.7643385781291413</v>
      </c>
      <c r="H31" s="238">
        <v>0</v>
      </c>
      <c r="I31" s="129"/>
      <c r="J31" s="152" t="s">
        <v>5</v>
      </c>
      <c r="K31" s="151" t="s">
        <v>4</v>
      </c>
      <c r="L31" s="151" t="s">
        <v>6</v>
      </c>
      <c r="M31" s="9"/>
      <c r="N31" s="151" t="s">
        <v>22</v>
      </c>
      <c r="O31" s="151" t="s">
        <v>23</v>
      </c>
      <c r="P31" s="151" t="s">
        <v>24</v>
      </c>
      <c r="R31" s="16"/>
      <c r="S31" s="16"/>
      <c r="T31" s="16"/>
    </row>
    <row r="32" spans="1:45">
      <c r="C32" s="16"/>
      <c r="D32" s="16"/>
      <c r="E32" s="16"/>
      <c r="F32" s="239">
        <f>-COS(RADIANS(F30))*SIN(RADIANS(G30))</f>
        <v>0.43771614492905003</v>
      </c>
      <c r="G32" s="240">
        <f>-SIN(RADIANS(F30))*SIN(RADIANS(G30))</f>
        <v>-0.36926827489302777</v>
      </c>
      <c r="H32" s="241">
        <f>COS(RADIANS(G30))</f>
        <v>0.819783823715727</v>
      </c>
      <c r="I32" s="129"/>
      <c r="J32" s="210">
        <v>7330.2</v>
      </c>
      <c r="K32" s="169">
        <v>-4733.8</v>
      </c>
      <c r="L32" s="169">
        <v>4458.6000000000004</v>
      </c>
      <c r="N32" s="169">
        <f t="array" ref="N32:P32">MMULT(J32:L32,F$31:H$33)</f>
        <v>-9592.409358235629</v>
      </c>
      <c r="O32" s="169">
        <v>-1497.8563803477305</v>
      </c>
      <c r="P32" s="169">
        <v>-1327.3723697158671</v>
      </c>
      <c r="R32" s="16"/>
      <c r="S32" s="16"/>
      <c r="T32" s="16"/>
    </row>
    <row r="33" spans="1:50" ht="15.75" thickBot="1">
      <c r="C33" s="16"/>
      <c r="D33" s="16"/>
      <c r="E33" s="16"/>
      <c r="F33" s="242">
        <f>COS(RADIANS(F30))*COS(RADIANS(G30))</f>
        <v>-0.6265924021921494</v>
      </c>
      <c r="G33" s="243">
        <f>SIN(RADIANS(F30))*COS(RADIANS(G30))</f>
        <v>0.5286090040294904</v>
      </c>
      <c r="H33" s="244">
        <f>SIN(RADIANS(G30))</f>
        <v>0.57267310254107606</v>
      </c>
      <c r="I33" s="129"/>
      <c r="J33" s="129"/>
      <c r="K33" s="16"/>
      <c r="L33" s="16"/>
      <c r="N33" s="16"/>
      <c r="O33" s="16"/>
      <c r="P33" s="16"/>
      <c r="R33" s="16"/>
      <c r="S33" s="16"/>
      <c r="T33" s="16"/>
    </row>
    <row r="34" spans="1:50">
      <c r="C34" s="16"/>
      <c r="D34" s="16"/>
      <c r="E34" s="16"/>
      <c r="F34" s="16"/>
      <c r="G34" s="129"/>
      <c r="H34" s="129"/>
      <c r="I34" s="129"/>
      <c r="J34" s="129"/>
      <c r="K34" s="16"/>
      <c r="L34" s="16"/>
      <c r="N34" s="16"/>
      <c r="O34" s="16"/>
      <c r="P34" s="16"/>
      <c r="R34" s="16"/>
      <c r="S34" s="16"/>
      <c r="T34" s="16"/>
    </row>
    <row r="35" spans="1:50">
      <c r="C35" s="16"/>
      <c r="D35" s="16"/>
      <c r="E35" s="16"/>
      <c r="F35" s="16" t="s">
        <v>261</v>
      </c>
      <c r="G35" s="129" t="s">
        <v>265</v>
      </c>
      <c r="H35" s="129" t="s">
        <v>266</v>
      </c>
      <c r="I35" s="129"/>
      <c r="J35" s="157">
        <v>2.6</v>
      </c>
      <c r="K35" s="8">
        <v>0.4</v>
      </c>
      <c r="L35" s="8">
        <v>0.4</v>
      </c>
      <c r="N35" s="169">
        <f t="array" ref="N35:P35">MMULT(J35:L35,F$31:H$33)</f>
        <v>-1.7520698128950212</v>
      </c>
      <c r="O35" s="169">
        <v>-1.9235440114811826</v>
      </c>
      <c r="P35" s="169">
        <v>0.55698277050272127</v>
      </c>
      <c r="R35" s="16"/>
      <c r="S35" s="16"/>
      <c r="T35" s="16"/>
    </row>
    <row r="36" spans="1:50">
      <c r="C36" s="16"/>
      <c r="D36" s="16"/>
      <c r="E36" s="16"/>
      <c r="F36" s="16"/>
      <c r="G36" s="129" t="s">
        <v>265</v>
      </c>
      <c r="H36" s="129" t="s">
        <v>267</v>
      </c>
      <c r="I36" s="129"/>
      <c r="J36" s="157">
        <v>2.4</v>
      </c>
      <c r="K36" s="8">
        <v>0.7</v>
      </c>
      <c r="L36" s="8">
        <v>0.4</v>
      </c>
      <c r="N36" s="169">
        <f t="array" ref="N36:P36">MMULT(J36:L36,F$31:H$33)</f>
        <v>-1.4917919455709381</v>
      </c>
      <c r="O36" s="169">
        <v>-1.8814567783232625</v>
      </c>
      <c r="P36" s="169">
        <v>0.80291791761743936</v>
      </c>
      <c r="R36" s="16"/>
      <c r="S36" s="16"/>
      <c r="T36" s="16"/>
    </row>
    <row r="37" spans="1:50">
      <c r="C37" s="16"/>
      <c r="D37" s="16"/>
      <c r="E37" s="16"/>
      <c r="F37" s="16"/>
      <c r="G37" s="129" t="s">
        <v>265</v>
      </c>
      <c r="H37" s="129" t="s">
        <v>268</v>
      </c>
      <c r="I37" s="129"/>
      <c r="J37" s="157">
        <v>2.2000000000000002</v>
      </c>
      <c r="K37" s="8">
        <v>0.5</v>
      </c>
      <c r="L37" s="8">
        <v>0.3</v>
      </c>
      <c r="N37" s="169">
        <f t="array" ref="N37:P37">MMULT(J37:L37,F$31:H$33)</f>
        <v>-1.3877129104921655</v>
      </c>
      <c r="O37" s="169">
        <v>-1.7075963081217778</v>
      </c>
      <c r="P37" s="169">
        <v>0.58169384262018631</v>
      </c>
      <c r="R37" s="16"/>
      <c r="S37" s="16"/>
      <c r="T37" s="16"/>
    </row>
    <row r="38" spans="1:50">
      <c r="C38" s="16"/>
      <c r="D38" s="16"/>
      <c r="E38" s="16"/>
      <c r="F38" s="16" t="s">
        <v>261</v>
      </c>
      <c r="G38" s="129" t="s">
        <v>273</v>
      </c>
      <c r="H38" s="129"/>
      <c r="I38" s="129"/>
      <c r="J38" s="310">
        <f t="array" ref="J38:L38">MMULT(N38:P38,TRANSPOSE(F$31:H$33))</f>
        <v>-0.3582645972841102</v>
      </c>
      <c r="K38" s="304">
        <v>0.14071951126104709</v>
      </c>
      <c r="L38" s="304">
        <v>0.14779884127863246</v>
      </c>
      <c r="N38" s="309">
        <v>0.2</v>
      </c>
      <c r="O38" s="309">
        <v>0.3</v>
      </c>
      <c r="P38" s="309">
        <v>0.2</v>
      </c>
      <c r="R38" s="16"/>
      <c r="S38" s="16"/>
      <c r="T38" s="16"/>
    </row>
    <row r="39" spans="1:50">
      <c r="C39" s="16"/>
      <c r="D39" s="16"/>
      <c r="E39" s="16"/>
      <c r="F39" s="16"/>
      <c r="G39" s="129" t="s">
        <v>274</v>
      </c>
      <c r="H39" s="129"/>
      <c r="I39" s="129"/>
      <c r="J39" s="310">
        <f t="array" ref="J39:L39">MMULT(N39:P39,TRANSPOSE(F$31:H$33))</f>
        <v>-0.14091536973559804</v>
      </c>
      <c r="K39" s="304">
        <v>8.8823169375174926E-2</v>
      </c>
      <c r="L39" s="304">
        <v>4.7468970437841713E-2</v>
      </c>
      <c r="N39" s="309">
        <v>0.1</v>
      </c>
      <c r="O39" s="309">
        <v>0.1</v>
      </c>
      <c r="P39" s="309">
        <v>0.1</v>
      </c>
      <c r="R39" s="16"/>
      <c r="S39" s="16"/>
      <c r="T39" s="16"/>
    </row>
    <row r="40" spans="1:50">
      <c r="C40" s="16"/>
      <c r="D40" s="16"/>
      <c r="E40" s="16"/>
      <c r="F40" s="16"/>
      <c r="G40" s="129" t="s">
        <v>270</v>
      </c>
      <c r="H40" s="129"/>
      <c r="I40" s="129"/>
      <c r="J40" s="310">
        <f t="array" ref="J40:L40">MMULT(N40:P40,TRANSPOSE(F$31:H$33))</f>
        <v>-0.14091536973559804</v>
      </c>
      <c r="K40" s="304">
        <v>8.8823169375174926E-2</v>
      </c>
      <c r="L40" s="304">
        <v>4.7468970437841713E-2</v>
      </c>
      <c r="N40" s="309">
        <v>0.1</v>
      </c>
      <c r="O40" s="309">
        <v>0.1</v>
      </c>
      <c r="P40" s="309">
        <v>0.1</v>
      </c>
      <c r="R40" s="16"/>
      <c r="S40" s="16"/>
      <c r="T40" s="16"/>
    </row>
    <row r="41" spans="1:50">
      <c r="C41" s="16"/>
      <c r="D41" s="16"/>
      <c r="E41" s="16"/>
      <c r="F41" s="16"/>
      <c r="G41" s="129" t="s">
        <v>275</v>
      </c>
      <c r="H41" s="129"/>
      <c r="I41" s="129"/>
      <c r="J41" s="310">
        <f t="array" ref="J41:L41">MMULT(N41:P41,TRANSPOSE(F$31:H$33))</f>
        <v>-0.20539688165828196</v>
      </c>
      <c r="K41" s="304">
        <v>0.13259478386807994</v>
      </c>
      <c r="L41" s="304">
        <v>-1.5190269781373222E-2</v>
      </c>
      <c r="N41" s="309">
        <v>0.2</v>
      </c>
      <c r="O41" s="309">
        <v>0.1</v>
      </c>
      <c r="P41" s="309">
        <v>0.1</v>
      </c>
      <c r="R41" s="16"/>
      <c r="S41" s="16"/>
      <c r="T41" s="16"/>
    </row>
    <row r="42" spans="1:50" ht="15.75" thickBot="1">
      <c r="C42" s="16"/>
      <c r="D42" s="16"/>
      <c r="E42" s="16"/>
      <c r="F42" s="16" t="s">
        <v>163</v>
      </c>
      <c r="G42" s="129"/>
      <c r="H42" s="129"/>
      <c r="I42" s="129"/>
      <c r="J42" s="129"/>
      <c r="K42" s="16"/>
      <c r="L42" s="16"/>
      <c r="N42" s="16"/>
      <c r="O42" s="16"/>
      <c r="P42" s="16"/>
      <c r="R42" s="16"/>
      <c r="S42" s="16"/>
      <c r="T42" s="16"/>
    </row>
    <row r="43" spans="1:50" ht="19.5" thickBot="1">
      <c r="C43" s="2"/>
      <c r="D43" s="2"/>
      <c r="E43" s="2"/>
      <c r="F43" s="322" t="s">
        <v>10</v>
      </c>
      <c r="G43" s="323"/>
      <c r="H43" s="324"/>
      <c r="J43" s="322" t="s">
        <v>11</v>
      </c>
      <c r="K43" s="323"/>
      <c r="L43" s="324"/>
      <c r="N43" s="322" t="s">
        <v>12</v>
      </c>
      <c r="O43" s="323"/>
      <c r="P43" s="324"/>
      <c r="R43" s="322" t="s">
        <v>13</v>
      </c>
      <c r="S43" s="323"/>
      <c r="T43" s="324"/>
      <c r="AM43" s="135"/>
      <c r="AN43" s="182" t="s">
        <v>110</v>
      </c>
      <c r="AO43" s="136"/>
      <c r="AP43" s="326" t="s">
        <v>115</v>
      </c>
      <c r="AQ43" s="321"/>
      <c r="AR43" s="321"/>
      <c r="AV43" t="s">
        <v>115</v>
      </c>
    </row>
    <row r="44" spans="1:50">
      <c r="C44" s="2" t="s">
        <v>283</v>
      </c>
      <c r="D44" s="2"/>
      <c r="E44" s="40"/>
      <c r="F44" s="14">
        <f>F24-F28</f>
        <v>-28.203299999702722</v>
      </c>
      <c r="G44" s="14">
        <f>G24-G28</f>
        <v>-34.483700000215322</v>
      </c>
      <c r="H44" s="14">
        <f>H24-H28</f>
        <v>12.342399999964982</v>
      </c>
      <c r="I44" s="297"/>
      <c r="J44" s="14">
        <f>J24-J28</f>
        <v>-28.202500000130385</v>
      </c>
      <c r="K44" s="14">
        <f>K24-K28</f>
        <v>-34.485000000335276</v>
      </c>
      <c r="L44" s="14">
        <f>L24-L28</f>
        <v>12.340799999888986</v>
      </c>
      <c r="M44" s="48"/>
      <c r="N44" s="14">
        <f>N24-N28</f>
        <v>-28.202500000130385</v>
      </c>
      <c r="O44" s="14">
        <f>O24-O28</f>
        <v>-34.483999999705702</v>
      </c>
      <c r="P44" s="14">
        <f>P24-P28</f>
        <v>12.341000000014901</v>
      </c>
      <c r="Q44" s="7"/>
      <c r="R44" s="14">
        <f>R24-R28</f>
        <v>-28.204599999822676</v>
      </c>
      <c r="S44" s="14">
        <f>S24-S28</f>
        <v>-34.483899999875575</v>
      </c>
      <c r="T44" s="14">
        <f>T24-T28</f>
        <v>12.342399999964982</v>
      </c>
      <c r="AL44" s="2"/>
      <c r="AM44" s="14"/>
      <c r="AN44" s="124"/>
      <c r="AO44" s="124"/>
      <c r="AV44" s="16"/>
      <c r="AW44" s="129"/>
      <c r="AX44" s="129"/>
    </row>
    <row r="45" spans="1:50">
      <c r="C45" s="2" t="s">
        <v>282</v>
      </c>
      <c r="D45" s="2"/>
      <c r="E45" s="40"/>
      <c r="F45" s="151" t="s">
        <v>206</v>
      </c>
      <c r="G45" s="152" t="s">
        <v>206</v>
      </c>
      <c r="H45" s="152" t="s">
        <v>206</v>
      </c>
      <c r="I45" s="297"/>
      <c r="J45" s="124">
        <f>J22-J24</f>
        <v>13.512600000016391</v>
      </c>
      <c r="K45" s="14">
        <f>K22-K24</f>
        <v>33.100200000219047</v>
      </c>
      <c r="L45" s="14">
        <f>L22-L24</f>
        <v>-16.289900000207126</v>
      </c>
      <c r="M45" s="48"/>
      <c r="N45" s="151" t="s">
        <v>206</v>
      </c>
      <c r="O45" s="152" t="s">
        <v>206</v>
      </c>
      <c r="P45" s="152" t="s">
        <v>206</v>
      </c>
      <c r="R45" s="151" t="s">
        <v>206</v>
      </c>
      <c r="S45" s="152" t="s">
        <v>206</v>
      </c>
      <c r="T45" s="152" t="s">
        <v>206</v>
      </c>
      <c r="AL45" s="2" t="s">
        <v>29</v>
      </c>
      <c r="AM45" s="14">
        <f>AM22-AM24</f>
        <v>-19.662900000344962</v>
      </c>
      <c r="AN45" s="124">
        <f>AN22-AN24</f>
        <v>-7.5449000000953674</v>
      </c>
      <c r="AO45" s="124">
        <f>AO22-AO24</f>
        <v>-22.131600000429899</v>
      </c>
      <c r="AP45">
        <f>SQRT(AP24^2+AP22^2)</f>
        <v>2.2397321268401719E-2</v>
      </c>
      <c r="AQ45">
        <f>SQRT(AQ24^2+AQ22^2)</f>
        <v>2.0276340892774514E-2</v>
      </c>
      <c r="AR45">
        <f>SQRT(AR24^2+AR22^2)</f>
        <v>2.5709920264364882E-3</v>
      </c>
      <c r="AV45" s="1" t="e">
        <f t="array" ref="AV45:AX45">MMULT(#REF!,TRANSPOSE($F$31:$H$33))*1000</f>
        <v>#REF!</v>
      </c>
      <c r="AW45" s="1" t="e">
        <v>#REF!</v>
      </c>
      <c r="AX45" s="1" t="e">
        <v>#REF!</v>
      </c>
    </row>
    <row r="46" spans="1:50" s="1" customFormat="1">
      <c r="A46" s="226"/>
      <c r="B46" s="231"/>
      <c r="C46" s="2" t="s">
        <v>259</v>
      </c>
      <c r="F46" s="151" t="s">
        <v>206</v>
      </c>
      <c r="G46" s="152" t="s">
        <v>206</v>
      </c>
      <c r="H46" s="152" t="s">
        <v>206</v>
      </c>
      <c r="I46" s="298"/>
      <c r="J46" s="14">
        <f>J22-J28</f>
        <v>-14.689900000113994</v>
      </c>
      <c r="K46" s="14">
        <f>K22-K28</f>
        <v>-1.3848000001162291</v>
      </c>
      <c r="L46" s="14">
        <f>L22-L28</f>
        <v>-3.9491000003181398</v>
      </c>
      <c r="M46" s="296"/>
      <c r="N46" s="151" t="s">
        <v>206</v>
      </c>
      <c r="O46" s="152" t="s">
        <v>206</v>
      </c>
      <c r="P46" s="152" t="s">
        <v>206</v>
      </c>
      <c r="R46" s="151" t="s">
        <v>206</v>
      </c>
      <c r="S46" s="152" t="s">
        <v>206</v>
      </c>
      <c r="T46" s="152" t="s">
        <v>206</v>
      </c>
      <c r="V46" s="3"/>
      <c r="W46" s="3"/>
      <c r="X46" s="3"/>
      <c r="AL46" s="2"/>
      <c r="AM46" s="14"/>
      <c r="AN46" s="14"/>
      <c r="AO46" s="14"/>
      <c r="AP46" s="3"/>
      <c r="AQ46" s="3"/>
      <c r="AR46" s="3"/>
    </row>
    <row r="47" spans="1:50">
      <c r="C47" s="144" t="s">
        <v>161</v>
      </c>
      <c r="D47" s="7"/>
      <c r="E47" s="7"/>
      <c r="F47" s="14">
        <f>F26-F28</f>
        <v>-9.592499999795109</v>
      </c>
      <c r="G47" s="14">
        <f>G26-G28</f>
        <v>-1.4974000002257526</v>
      </c>
      <c r="H47" s="14">
        <f>H26-H28</f>
        <v>-1.3271999997086823</v>
      </c>
      <c r="I47" s="134"/>
      <c r="J47" s="14">
        <f>J26-J28</f>
        <v>-9.5926000000908971</v>
      </c>
      <c r="K47" s="14">
        <f>K26-K28</f>
        <v>-1.4965000003576279</v>
      </c>
      <c r="L47" s="14">
        <f>L26-L28</f>
        <v>-1.3256000000983477</v>
      </c>
      <c r="M47" s="7"/>
      <c r="N47" s="14">
        <f>N26-N28</f>
        <v>-9.5903000002726912</v>
      </c>
      <c r="O47" s="14">
        <f>O26-O28</f>
        <v>-1.4970999998040497</v>
      </c>
      <c r="P47" s="14">
        <f>P26-P28</f>
        <v>-1.3281000000424683</v>
      </c>
      <c r="Q47" s="7"/>
      <c r="R47" s="14">
        <f>R26-R28</f>
        <v>-9.5937000000849366</v>
      </c>
      <c r="S47" s="14">
        <f>S26-S28</f>
        <v>-1.5021999999880791</v>
      </c>
      <c r="T47" s="14">
        <f>T26-T28</f>
        <v>-1.3263000003062189</v>
      </c>
      <c r="AL47" s="7"/>
      <c r="AM47" s="16"/>
      <c r="AN47" s="129"/>
      <c r="AO47" s="129"/>
    </row>
    <row r="48" spans="1:50">
      <c r="C48" s="211" t="s">
        <v>190</v>
      </c>
      <c r="D48" s="212"/>
      <c r="E48" s="212"/>
      <c r="F48" s="213">
        <f>N32*0.001</f>
        <v>-9.5924093582356296</v>
      </c>
      <c r="G48" s="213">
        <f>O32*0.001</f>
        <v>-1.4978563803477305</v>
      </c>
      <c r="H48" s="213">
        <f>P32*0.001</f>
        <v>-1.327372369715867</v>
      </c>
      <c r="I48" s="134"/>
      <c r="J48" s="129"/>
      <c r="K48" s="16"/>
      <c r="L48" s="16"/>
      <c r="N48" s="3"/>
      <c r="O48" s="3"/>
      <c r="P48" s="3"/>
      <c r="R48" s="3"/>
      <c r="S48" s="3"/>
      <c r="T48" s="3"/>
    </row>
    <row r="49" spans="3:68">
      <c r="C49" s="31"/>
      <c r="D49" s="7"/>
      <c r="E49" s="7"/>
      <c r="F49" s="16"/>
      <c r="G49" s="129"/>
      <c r="H49" s="129"/>
      <c r="I49" s="134"/>
      <c r="J49" s="129"/>
      <c r="K49" s="16"/>
      <c r="L49" s="16"/>
      <c r="N49" s="3"/>
      <c r="O49" s="3"/>
      <c r="P49" s="3"/>
      <c r="R49" s="3"/>
      <c r="S49" s="3"/>
      <c r="T49" s="3"/>
    </row>
    <row r="50" spans="3:68" ht="15.75" thickBot="1">
      <c r="C50" s="31" t="s">
        <v>162</v>
      </c>
      <c r="J50" s="130"/>
      <c r="K50" s="3"/>
      <c r="L50" s="3"/>
      <c r="N50" s="3"/>
      <c r="O50" s="3"/>
      <c r="P50" s="3"/>
      <c r="R50" s="3"/>
      <c r="S50" s="3"/>
      <c r="T50" s="3"/>
    </row>
    <row r="51" spans="3:68" ht="19.5" thickBot="1">
      <c r="C51" s="2"/>
      <c r="D51" s="2"/>
      <c r="E51" s="2"/>
      <c r="F51" s="316" t="s">
        <v>10</v>
      </c>
      <c r="G51" s="316"/>
      <c r="H51" s="316"/>
      <c r="J51" s="322" t="s">
        <v>11</v>
      </c>
      <c r="K51" s="323"/>
      <c r="L51" s="324"/>
      <c r="N51" s="322" t="s">
        <v>12</v>
      </c>
      <c r="O51" s="323"/>
      <c r="P51" s="324"/>
      <c r="R51" s="322" t="s">
        <v>13</v>
      </c>
      <c r="S51" s="323"/>
      <c r="T51" s="324"/>
      <c r="AM51" s="135"/>
      <c r="AN51" s="182" t="s">
        <v>110</v>
      </c>
      <c r="AO51" s="136"/>
      <c r="AR51" t="s">
        <v>117</v>
      </c>
      <c r="AT51" t="s">
        <v>16</v>
      </c>
      <c r="AV51" t="s">
        <v>116</v>
      </c>
      <c r="AX51" t="s">
        <v>16</v>
      </c>
      <c r="AZ51" t="s">
        <v>125</v>
      </c>
      <c r="BB51" t="s">
        <v>16</v>
      </c>
      <c r="BD51" t="s">
        <v>133</v>
      </c>
      <c r="BF51" t="s">
        <v>16</v>
      </c>
      <c r="BH51" s="2"/>
      <c r="BI51" s="315" t="s">
        <v>7</v>
      </c>
      <c r="BJ51" s="315"/>
      <c r="BK51" s="315"/>
      <c r="BM51" s="315" t="s">
        <v>126</v>
      </c>
      <c r="BN51" s="315"/>
      <c r="BO51" s="315"/>
      <c r="BP51" s="2" t="s">
        <v>4</v>
      </c>
    </row>
    <row r="52" spans="3:68">
      <c r="C52" s="2"/>
      <c r="D52" s="2"/>
      <c r="E52" s="2"/>
      <c r="F52" s="14" t="s">
        <v>5</v>
      </c>
      <c r="G52" s="124" t="s">
        <v>4</v>
      </c>
      <c r="H52" s="124" t="s">
        <v>6</v>
      </c>
      <c r="I52" s="124" t="s">
        <v>15</v>
      </c>
      <c r="J52" s="124" t="s">
        <v>5</v>
      </c>
      <c r="K52" s="14" t="s">
        <v>4</v>
      </c>
      <c r="L52" s="14" t="s">
        <v>6</v>
      </c>
      <c r="M52" s="14" t="s">
        <v>15</v>
      </c>
      <c r="N52" s="14" t="s">
        <v>5</v>
      </c>
      <c r="O52" s="14" t="s">
        <v>4</v>
      </c>
      <c r="P52" s="14" t="s">
        <v>6</v>
      </c>
      <c r="Q52" s="14" t="s">
        <v>15</v>
      </c>
      <c r="R52" s="14" t="s">
        <v>5</v>
      </c>
      <c r="S52" s="14" t="s">
        <v>4</v>
      </c>
      <c r="T52" s="14" t="s">
        <v>6</v>
      </c>
      <c r="U52" s="3" t="s">
        <v>15</v>
      </c>
      <c r="Y52" s="3"/>
      <c r="Z52" s="3"/>
      <c r="AA52" s="3"/>
      <c r="AB52" s="3"/>
      <c r="AC52" s="3"/>
      <c r="AD52" s="3"/>
      <c r="AE52" s="3"/>
      <c r="AF52" s="3"/>
      <c r="AG52" s="3"/>
      <c r="AH52" s="3"/>
      <c r="AI52" s="3"/>
      <c r="AJ52" s="3"/>
      <c r="AK52" s="3"/>
      <c r="AM52" s="14" t="s">
        <v>5</v>
      </c>
      <c r="AN52" s="124" t="s">
        <v>4</v>
      </c>
      <c r="AO52" s="124" t="s">
        <v>6</v>
      </c>
      <c r="AR52" s="14" t="s">
        <v>5</v>
      </c>
      <c r="AS52" s="124" t="s">
        <v>4</v>
      </c>
      <c r="AT52" s="124" t="s">
        <v>6</v>
      </c>
      <c r="AV52" s="14" t="s">
        <v>5</v>
      </c>
      <c r="AW52" s="124" t="s">
        <v>4</v>
      </c>
      <c r="AX52" s="124" t="s">
        <v>6</v>
      </c>
      <c r="AZ52" s="14" t="s">
        <v>5</v>
      </c>
      <c r="BA52" s="124" t="s">
        <v>4</v>
      </c>
      <c r="BB52" s="124" t="s">
        <v>6</v>
      </c>
      <c r="BD52" s="14" t="s">
        <v>5</v>
      </c>
      <c r="BE52" s="124" t="s">
        <v>4</v>
      </c>
      <c r="BF52" s="149" t="s">
        <v>6</v>
      </c>
      <c r="BG52" s="149"/>
      <c r="BH52" s="2"/>
      <c r="BI52" s="14" t="s">
        <v>5</v>
      </c>
      <c r="BJ52" s="124" t="s">
        <v>4</v>
      </c>
      <c r="BK52" s="124" t="s">
        <v>6</v>
      </c>
      <c r="BM52" s="14" t="s">
        <v>5</v>
      </c>
      <c r="BN52" s="124" t="s">
        <v>4</v>
      </c>
      <c r="BO52" s="124" t="s">
        <v>6</v>
      </c>
      <c r="BP52" s="2"/>
    </row>
    <row r="53" spans="3:68">
      <c r="C53" s="2" t="s">
        <v>65</v>
      </c>
      <c r="D53" s="2"/>
      <c r="E53" s="2"/>
      <c r="F53" s="14" t="e">
        <f t="array" ref="F53:H53">MMULT(#REF!,TRANSPOSE($F$31:$H$33))</f>
        <v>#REF!</v>
      </c>
      <c r="G53" s="124" t="e">
        <v>#REF!</v>
      </c>
      <c r="H53" s="124" t="e">
        <v>#REF!</v>
      </c>
      <c r="I53" s="131"/>
      <c r="J53" s="14" t="e">
        <f t="array" ref="J53:L53">MMULT(#REF!,TRANSPOSE($F$31:$H$33))</f>
        <v>#REF!</v>
      </c>
      <c r="K53" s="124" t="e">
        <v>#REF!</v>
      </c>
      <c r="L53" s="124" t="e">
        <v>#REF!</v>
      </c>
      <c r="M53" s="2"/>
      <c r="N53" s="14" t="e">
        <f t="array" ref="N53:P53">MMULT(#REF!,TRANSPOSE($F$31:$H$33))</f>
        <v>#REF!</v>
      </c>
      <c r="O53" s="124" t="e">
        <v>#REF!</v>
      </c>
      <c r="P53" s="124" t="e">
        <v>#REF!</v>
      </c>
      <c r="Q53" s="2"/>
      <c r="R53" s="14" t="e">
        <f t="array" ref="R53:T53">MMULT(#REF!,TRANSPOSE($F$31:$H$33))</f>
        <v>#REF!</v>
      </c>
      <c r="S53" s="124" t="e">
        <v>#REF!</v>
      </c>
      <c r="T53" s="124" t="e">
        <v>#REF!</v>
      </c>
      <c r="AL53" s="2" t="s">
        <v>65</v>
      </c>
      <c r="AM53" s="14" t="e">
        <f t="array" ref="AM53:AO53">MMULT(#REF!,TRANSPOSE(F31:H33))</f>
        <v>#REF!</v>
      </c>
      <c r="AN53" s="124" t="e">
        <v>#REF!</v>
      </c>
      <c r="AO53" s="124" t="e">
        <v>#REF!</v>
      </c>
      <c r="AQ53" s="2" t="s">
        <v>65</v>
      </c>
      <c r="AR53" s="133" t="e">
        <f>($AM53-F53)*1000</f>
        <v>#REF!</v>
      </c>
      <c r="AS53" s="133" t="e">
        <f>($AN53-G53)*1000</f>
        <v>#REF!</v>
      </c>
      <c r="AT53" s="133" t="e">
        <f>($AO53-H53)*1000</f>
        <v>#REF!</v>
      </c>
      <c r="AU53" s="1"/>
      <c r="AV53" s="133" t="e">
        <f>($AM53-J53)*1000</f>
        <v>#REF!</v>
      </c>
      <c r="AW53" s="133" t="e">
        <f>($AN53-K53)*1000</f>
        <v>#REF!</v>
      </c>
      <c r="AX53" s="133" t="e">
        <f>($AO53-L53)*1000</f>
        <v>#REF!</v>
      </c>
      <c r="AZ53" s="133" t="e">
        <f>($AM53-N53)*1000</f>
        <v>#REF!</v>
      </c>
      <c r="BA53" s="133" t="e">
        <f>($AN53-O53)*1000</f>
        <v>#REF!</v>
      </c>
      <c r="BB53" s="133" t="e">
        <f>($AO53-P53)*1000</f>
        <v>#REF!</v>
      </c>
      <c r="BD53" s="133" t="e">
        <f>($AM53-R53)*1000</f>
        <v>#REF!</v>
      </c>
      <c r="BE53" s="133" t="e">
        <f>($AN53-S53)*1000</f>
        <v>#REF!</v>
      </c>
      <c r="BF53" s="150" t="e">
        <f>($AO53-T53)*1000</f>
        <v>#REF!</v>
      </c>
      <c r="BG53" s="150"/>
      <c r="BH53" s="2" t="s">
        <v>65</v>
      </c>
      <c r="BI53" s="6" t="e">
        <f>AVERAGE(AR53,AV53,AZ53,BD53)</f>
        <v>#REF!</v>
      </c>
      <c r="BJ53" s="6" t="e">
        <f>AVERAGE(AS53,AW53,BA53,BE53)</f>
        <v>#REF!</v>
      </c>
      <c r="BK53" s="6" t="e">
        <f>AVERAGE(AT53,AX53,BB53,BF53)</f>
        <v>#REF!</v>
      </c>
      <c r="BM53" s="6" t="e">
        <f t="shared" ref="BM53:BO60" si="3">STDEV(AR53,AV53,AZ53,BD53)</f>
        <v>#REF!</v>
      </c>
      <c r="BN53" s="6" t="e">
        <f t="shared" si="3"/>
        <v>#REF!</v>
      </c>
      <c r="BO53" s="6" t="e">
        <f t="shared" si="3"/>
        <v>#REF!</v>
      </c>
      <c r="BP53" s="2">
        <f>COUNTA(AR53,AV53,AZ53,BD53)</f>
        <v>4</v>
      </c>
    </row>
    <row r="54" spans="3:68">
      <c r="C54" s="2" t="s">
        <v>136</v>
      </c>
      <c r="D54" s="2"/>
      <c r="E54" s="2"/>
      <c r="F54" s="14" t="e">
        <f t="array" ref="F54:H54">MMULT(#REF!,TRANSPOSE($F$31:$H$33))</f>
        <v>#REF!</v>
      </c>
      <c r="G54" s="124" t="e">
        <v>#REF!</v>
      </c>
      <c r="H54" s="124" t="e">
        <v>#REF!</v>
      </c>
      <c r="I54" s="131"/>
      <c r="J54" s="14" t="e">
        <f t="array" ref="J54:L54">MMULT(#REF!,TRANSPOSE($F$31:$H$33))</f>
        <v>#REF!</v>
      </c>
      <c r="K54" s="124" t="e">
        <v>#REF!</v>
      </c>
      <c r="L54" s="124" t="e">
        <v>#REF!</v>
      </c>
      <c r="M54" s="2"/>
      <c r="N54" s="14" t="e">
        <f t="array" ref="N54:P54">MMULT(#REF!,TRANSPOSE($F$31:$H$33))</f>
        <v>#REF!</v>
      </c>
      <c r="O54" s="124" t="e">
        <v>#REF!</v>
      </c>
      <c r="P54" s="124" t="e">
        <v>#REF!</v>
      </c>
      <c r="Q54" s="2"/>
      <c r="R54" s="14" t="e">
        <f t="array" ref="R54:T54">MMULT(#REF!,TRANSPOSE($F$31:$H$33))</f>
        <v>#REF!</v>
      </c>
      <c r="S54" s="124" t="e">
        <v>#REF!</v>
      </c>
      <c r="T54" s="124" t="e">
        <v>#REF!</v>
      </c>
      <c r="AL54" s="2"/>
      <c r="AM54" s="14"/>
      <c r="AN54" s="14"/>
      <c r="AO54" s="14"/>
      <c r="AQ54" s="2" t="s">
        <v>136</v>
      </c>
      <c r="AR54" s="133" t="e">
        <f>($AM53-F54)*1000</f>
        <v>#REF!</v>
      </c>
      <c r="AS54" s="133" t="e">
        <f>($AN53-G54)*1000</f>
        <v>#REF!</v>
      </c>
      <c r="AT54" s="133" t="e">
        <f>($AO53-H54)*1000</f>
        <v>#REF!</v>
      </c>
      <c r="AU54" s="1"/>
      <c r="AV54" s="133" t="e">
        <f>($AM53-J54)*1000</f>
        <v>#REF!</v>
      </c>
      <c r="AW54" s="133" t="e">
        <f>($AN53-K54)*1000</f>
        <v>#REF!</v>
      </c>
      <c r="AX54" s="133" t="e">
        <f>($AO53-L54)*1000</f>
        <v>#REF!</v>
      </c>
      <c r="AZ54" s="133" t="e">
        <f>($AM53-N54)*1000</f>
        <v>#REF!</v>
      </c>
      <c r="BA54" s="133" t="e">
        <f>($AN53-O54)*1000</f>
        <v>#REF!</v>
      </c>
      <c r="BB54" s="133" t="e">
        <f>($AO53-P54)*1000</f>
        <v>#REF!</v>
      </c>
      <c r="BD54" s="133" t="e">
        <f>($AM53-R54)*1000</f>
        <v>#REF!</v>
      </c>
      <c r="BE54" s="133" t="e">
        <f>($AN53-S54)*1000</f>
        <v>#REF!</v>
      </c>
      <c r="BF54" s="133" t="e">
        <f>($AO53-T54)*1000</f>
        <v>#REF!</v>
      </c>
      <c r="BG54" s="157"/>
      <c r="BH54" s="2" t="s">
        <v>147</v>
      </c>
      <c r="BI54" s="6" t="e">
        <f t="shared" ref="BI54:BK60" si="4">AVERAGE(AR54,AV54,AZ54,BD54)</f>
        <v>#REF!</v>
      </c>
      <c r="BJ54" s="6" t="e">
        <f t="shared" si="4"/>
        <v>#REF!</v>
      </c>
      <c r="BK54" s="6" t="e">
        <f t="shared" si="4"/>
        <v>#REF!</v>
      </c>
      <c r="BM54" s="6" t="e">
        <f t="shared" si="3"/>
        <v>#REF!</v>
      </c>
      <c r="BN54" s="6" t="e">
        <f t="shared" si="3"/>
        <v>#REF!</v>
      </c>
      <c r="BO54" s="6" t="e">
        <f t="shared" si="3"/>
        <v>#REF!</v>
      </c>
      <c r="BP54" s="2">
        <f>COUNTA(AR54,AV54,AZ54,BD54)</f>
        <v>4</v>
      </c>
    </row>
    <row r="55" spans="3:68">
      <c r="C55" s="2" t="s">
        <v>141</v>
      </c>
      <c r="D55" s="2"/>
      <c r="E55" s="2"/>
      <c r="F55" s="14">
        <f t="array" ref="F55:H55">MMULT(F44:H44,TRANSPOSE($F$31:$H$33))</f>
        <v>44.543136478695068</v>
      </c>
      <c r="G55" s="124">
        <v>10.506796526661141</v>
      </c>
      <c r="H55" s="124">
        <v>6.5117396849769378</v>
      </c>
      <c r="I55" s="131"/>
      <c r="J55" s="14">
        <f t="array" ref="J55:L55">MMULT(J44:L44,TRANSPOSE($F$31:$H$33))</f>
        <v>44.543614267118706</v>
      </c>
      <c r="K55" s="124">
        <v>10.506315094011301</v>
      </c>
      <c r="L55" s="124">
        <v>6.5096349425469207</v>
      </c>
      <c r="M55" s="2"/>
      <c r="N55" s="14">
        <f t="array" ref="N55:P55">MMULT(N44:P44,TRANSPOSE($F$31:$H$33))</f>
        <v>44.542849928059368</v>
      </c>
      <c r="O55" s="124">
        <v>10.506109782371892</v>
      </c>
      <c r="P55" s="124">
        <v>6.5102780865763661</v>
      </c>
      <c r="Q55" s="2"/>
      <c r="R55" s="14">
        <f t="array" ref="R55:T55">MMULT(R44:T44,TRANSPOSE($F$31:$H$33))</f>
        <v>44.544127605883354</v>
      </c>
      <c r="S55" s="124">
        <v>10.50630134914975</v>
      </c>
      <c r="T55" s="124">
        <v>6.5124485335537372</v>
      </c>
      <c r="AL55" s="2"/>
      <c r="AM55" s="14"/>
      <c r="AN55" s="14"/>
      <c r="AO55" s="14"/>
      <c r="AQ55" s="2" t="s">
        <v>141</v>
      </c>
      <c r="AR55" s="133" t="e">
        <f>($AM53-F55)*1000</f>
        <v>#REF!</v>
      </c>
      <c r="AS55" s="133" t="e">
        <f>($AN53-G55)*1000</f>
        <v>#REF!</v>
      </c>
      <c r="AT55" s="133" t="e">
        <f>($AO53-H55)*1000</f>
        <v>#REF!</v>
      </c>
      <c r="AU55" s="1"/>
      <c r="AV55" s="133" t="e">
        <f>($AM53-J55)*1000</f>
        <v>#REF!</v>
      </c>
      <c r="AW55" s="133" t="e">
        <f>($AN53-K55)*1000</f>
        <v>#REF!</v>
      </c>
      <c r="AX55" s="133" t="e">
        <f>($AO53-L55)*1000</f>
        <v>#REF!</v>
      </c>
      <c r="AZ55" s="133" t="e">
        <f>($AM53-N55)*1000</f>
        <v>#REF!</v>
      </c>
      <c r="BA55" s="133" t="e">
        <f>($AN53-O55)*1000</f>
        <v>#REF!</v>
      </c>
      <c r="BB55" s="133" t="e">
        <f>($AO53-P55)*1000</f>
        <v>#REF!</v>
      </c>
      <c r="BD55" s="133" t="e">
        <f>($AM53-R55)*1000</f>
        <v>#REF!</v>
      </c>
      <c r="BE55" s="133" t="e">
        <f>($AN53-S55)*1000</f>
        <v>#REF!</v>
      </c>
      <c r="BF55" s="133" t="e">
        <f>($AO53-T55)*1000</f>
        <v>#REF!</v>
      </c>
      <c r="BG55" s="157"/>
      <c r="BH55" s="168" t="s">
        <v>141</v>
      </c>
      <c r="BI55" s="169" t="e">
        <f t="shared" si="4"/>
        <v>#REF!</v>
      </c>
      <c r="BJ55" s="169" t="e">
        <f t="shared" si="4"/>
        <v>#REF!</v>
      </c>
      <c r="BK55" s="169" t="e">
        <f t="shared" si="4"/>
        <v>#REF!</v>
      </c>
      <c r="BL55" s="170"/>
      <c r="BM55" s="169" t="e">
        <f t="shared" si="3"/>
        <v>#REF!</v>
      </c>
      <c r="BN55" s="169" t="e">
        <f t="shared" si="3"/>
        <v>#REF!</v>
      </c>
      <c r="BO55" s="169" t="e">
        <f t="shared" si="3"/>
        <v>#REF!</v>
      </c>
      <c r="BP55" s="168">
        <f>COUNTA(AR55,AV55,AZ55,BD55)</f>
        <v>4</v>
      </c>
    </row>
    <row r="56" spans="3:68">
      <c r="C56" s="2" t="s">
        <v>29</v>
      </c>
      <c r="D56" s="2"/>
      <c r="E56" s="2"/>
      <c r="F56" s="14" t="e">
        <f t="array" ref="F56:H56">MMULT(F45:H45,TRANSPOSE($F$31:$H$33))</f>
        <v>#VALUE!</v>
      </c>
      <c r="G56" s="124" t="e">
        <v>#VALUE!</v>
      </c>
      <c r="H56" s="124" t="e">
        <v>#VALUE!</v>
      </c>
      <c r="I56" s="131"/>
      <c r="J56" s="124">
        <f t="array" ref="J56:L56">MMULT(J45:L45,TRANSPOSE($F$31:$H$33))</f>
        <v>-34.01288858403278</v>
      </c>
      <c r="K56" s="14">
        <v>-19.662367082836248</v>
      </c>
      <c r="L56" s="14">
        <v>-0.29861631178166981</v>
      </c>
      <c r="M56" s="2"/>
      <c r="N56" s="14"/>
      <c r="O56" s="14"/>
      <c r="P56" s="14"/>
      <c r="Q56" s="2"/>
      <c r="R56" s="14"/>
      <c r="S56" s="14"/>
      <c r="T56" s="14"/>
      <c r="AL56" s="2" t="s">
        <v>29</v>
      </c>
      <c r="AM56" s="14">
        <f t="array" ref="AM56:AO56">MMULT(AM45:AO45,TRANSPOSE($F$31:$H$33))</f>
        <v>18.445793346267301</v>
      </c>
      <c r="AN56" s="124">
        <v>-23.9638042523002</v>
      </c>
      <c r="AO56" s="124">
        <v>-4.3418503657166205</v>
      </c>
      <c r="AQ56" s="2" t="s">
        <v>29</v>
      </c>
      <c r="AR56" s="133" t="e">
        <f>($AM56-F56)*1000</f>
        <v>#VALUE!</v>
      </c>
      <c r="AS56" s="133" t="e">
        <f>($AN56-G56)*1000</f>
        <v>#VALUE!</v>
      </c>
      <c r="AT56" s="133" t="e">
        <f>($AO56-H56)*1000</f>
        <v>#VALUE!</v>
      </c>
      <c r="AU56" s="1"/>
      <c r="AV56" s="133">
        <f>($AM56-J56)*1000</f>
        <v>52458.681930300081</v>
      </c>
      <c r="AW56" s="133">
        <f>($AN56-K56)*1000</f>
        <v>-4301.4371694639522</v>
      </c>
      <c r="AX56" s="133">
        <f>($AO56-L56)*1000</f>
        <v>-4043.2340539349507</v>
      </c>
      <c r="AZ56" s="133"/>
      <c r="BA56" s="133"/>
      <c r="BB56" s="133"/>
      <c r="BH56" s="168" t="s">
        <v>29</v>
      </c>
      <c r="BI56" s="169" t="e">
        <f t="shared" si="4"/>
        <v>#VALUE!</v>
      </c>
      <c r="BJ56" s="169" t="e">
        <f t="shared" si="4"/>
        <v>#VALUE!</v>
      </c>
      <c r="BK56" s="169" t="e">
        <f t="shared" si="4"/>
        <v>#VALUE!</v>
      </c>
      <c r="BL56" s="170"/>
      <c r="BM56" s="169" t="e">
        <f t="shared" si="3"/>
        <v>#VALUE!</v>
      </c>
      <c r="BN56" s="169" t="e">
        <f t="shared" si="3"/>
        <v>#VALUE!</v>
      </c>
      <c r="BO56" s="169" t="e">
        <f t="shared" si="3"/>
        <v>#VALUE!</v>
      </c>
      <c r="BP56" s="168">
        <f t="shared" ref="BP56" si="5">COUNTA(AR56,AV56,AZ56,BD56)</f>
        <v>2</v>
      </c>
    </row>
    <row r="57" spans="3:68">
      <c r="C57" s="2" t="s">
        <v>137</v>
      </c>
      <c r="D57" s="2"/>
      <c r="E57" s="2"/>
      <c r="F57" s="14" t="e">
        <f t="array" ref="F57:H57">MMULT(#REF!,TRANSPOSE($F$31:$H$33))</f>
        <v>#REF!</v>
      </c>
      <c r="G57" s="124" t="e">
        <v>#REF!</v>
      </c>
      <c r="H57" s="124" t="e">
        <v>#REF!</v>
      </c>
      <c r="I57" s="131"/>
      <c r="J57" s="14" t="e">
        <f t="array" ref="J57:L57">MMULT(#REF!,TRANSPOSE($F$31:$H$33))</f>
        <v>#REF!</v>
      </c>
      <c r="K57" s="124" t="e">
        <v>#REF!</v>
      </c>
      <c r="L57" s="124" t="e">
        <v>#REF!</v>
      </c>
      <c r="M57" s="2"/>
      <c r="N57" s="14"/>
      <c r="O57" s="14"/>
      <c r="P57" s="14"/>
      <c r="Q57" s="2"/>
      <c r="R57" s="14"/>
      <c r="S57" s="14"/>
      <c r="T57" s="14"/>
      <c r="AL57" s="2" t="s">
        <v>138</v>
      </c>
      <c r="AM57" s="14" t="e">
        <f t="array" ref="AM57:AO57">MMULT(#REF!,TRANSPOSE($F$31:$H$33))</f>
        <v>#REF!</v>
      </c>
      <c r="AN57" s="124" t="e">
        <v>#REF!</v>
      </c>
      <c r="AO57" s="124" t="e">
        <v>#REF!</v>
      </c>
      <c r="AQ57" s="2" t="s">
        <v>137</v>
      </c>
      <c r="AR57" s="133" t="e">
        <f>(AM57-F57)*1000</f>
        <v>#REF!</v>
      </c>
      <c r="AS57" s="133" t="e">
        <f>(AN57-G57)*1000</f>
        <v>#REF!</v>
      </c>
      <c r="AT57" s="133" t="e">
        <f>(AO57-H57)*1000</f>
        <v>#REF!</v>
      </c>
      <c r="AU57" s="1"/>
      <c r="AV57" s="133" t="e">
        <f>($AM57-J57)*1000</f>
        <v>#REF!</v>
      </c>
      <c r="AW57" s="133" t="e">
        <f>($AN57-K57)*1000</f>
        <v>#REF!</v>
      </c>
      <c r="AX57" s="133" t="e">
        <f>($AO57-L57)*1000</f>
        <v>#REF!</v>
      </c>
      <c r="AZ57" s="133"/>
      <c r="BA57" s="133"/>
      <c r="BB57" s="133"/>
      <c r="BH57" s="2" t="s">
        <v>146</v>
      </c>
      <c r="BI57" s="6" t="e">
        <f t="shared" si="4"/>
        <v>#REF!</v>
      </c>
      <c r="BJ57" s="6" t="e">
        <f t="shared" si="4"/>
        <v>#REF!</v>
      </c>
      <c r="BK57" s="6" t="e">
        <f t="shared" si="4"/>
        <v>#REF!</v>
      </c>
      <c r="BM57" s="6" t="e">
        <f t="shared" si="3"/>
        <v>#REF!</v>
      </c>
      <c r="BN57" s="6" t="e">
        <f t="shared" si="3"/>
        <v>#REF!</v>
      </c>
      <c r="BO57" s="6" t="e">
        <f t="shared" si="3"/>
        <v>#REF!</v>
      </c>
      <c r="BP57" s="2">
        <f>COUNTA(AR57,AV57,AZ57,BD57)</f>
        <v>2</v>
      </c>
    </row>
    <row r="58" spans="3:68">
      <c r="C58" s="2" t="s">
        <v>142</v>
      </c>
      <c r="D58" s="2"/>
      <c r="E58" s="2"/>
      <c r="F58" s="14" t="e">
        <f t="array" ref="F58:H58">MMULT(F46:H46,TRANSPOSE($F$31:$H$33))</f>
        <v>#VALUE!</v>
      </c>
      <c r="G58" s="124" t="e">
        <v>#VALUE!</v>
      </c>
      <c r="H58" s="124" t="e">
        <v>#VALUE!</v>
      </c>
      <c r="I58" s="131"/>
      <c r="J58" s="14">
        <f t="array" ref="J58:L58">MMULT(J46:L46,TRANSPOSE($F$31:$H$33))</f>
        <v>10.530725683085919</v>
      </c>
      <c r="K58" s="124">
        <v>-9.1560519888249488</v>
      </c>
      <c r="L58" s="124">
        <v>6.2110186307652508</v>
      </c>
      <c r="M58" s="2"/>
      <c r="N58" s="14"/>
      <c r="O58" s="14"/>
      <c r="P58" s="14"/>
      <c r="Q58" s="2"/>
      <c r="R58" s="14"/>
      <c r="S58" s="14"/>
      <c r="T58" s="14"/>
      <c r="AL58" s="2"/>
      <c r="AM58" s="14"/>
      <c r="AN58" s="124"/>
      <c r="AO58" s="124"/>
      <c r="AQ58" s="2" t="s">
        <v>142</v>
      </c>
      <c r="AR58" s="133" t="e">
        <f>(AM57-F58)*1000</f>
        <v>#REF!</v>
      </c>
      <c r="AS58" s="133" t="e">
        <f>(AN57-G58)*1000</f>
        <v>#REF!</v>
      </c>
      <c r="AT58" s="133" t="e">
        <f>(AO57-H58)*1000</f>
        <v>#REF!</v>
      </c>
      <c r="AU58" s="1"/>
      <c r="AV58" s="133" t="e">
        <f>($AM57-J58)*1000</f>
        <v>#REF!</v>
      </c>
      <c r="AW58" s="133" t="e">
        <f>($AN57-K58)*1000</f>
        <v>#REF!</v>
      </c>
      <c r="AX58" s="133" t="e">
        <f>($AO57-L58)*1000</f>
        <v>#REF!</v>
      </c>
      <c r="AZ58" s="133"/>
      <c r="BA58" s="133"/>
      <c r="BB58" s="133"/>
      <c r="BH58" s="168" t="s">
        <v>142</v>
      </c>
      <c r="BI58" s="169" t="e">
        <f t="shared" si="4"/>
        <v>#REF!</v>
      </c>
      <c r="BJ58" s="169" t="e">
        <f t="shared" si="4"/>
        <v>#REF!</v>
      </c>
      <c r="BK58" s="169" t="e">
        <f t="shared" si="4"/>
        <v>#REF!</v>
      </c>
      <c r="BL58" s="170"/>
      <c r="BM58" s="169" t="e">
        <f t="shared" si="3"/>
        <v>#REF!</v>
      </c>
      <c r="BN58" s="169" t="e">
        <f t="shared" si="3"/>
        <v>#REF!</v>
      </c>
      <c r="BO58" s="169" t="e">
        <f t="shared" si="3"/>
        <v>#REF!</v>
      </c>
      <c r="BP58" s="168">
        <f>COUNTA(AR58,AV58,AZ58,BD58)</f>
        <v>2</v>
      </c>
    </row>
    <row r="59" spans="3:68">
      <c r="C59" s="2" t="s">
        <v>30</v>
      </c>
      <c r="D59" s="2"/>
      <c r="E59" s="2"/>
      <c r="F59" s="14" t="e">
        <f t="array" ref="F59:H59">MMULT(#REF!,TRANSPOSE($F$31:$H$33))</f>
        <v>#REF!</v>
      </c>
      <c r="G59" s="124" t="e">
        <v>#REF!</v>
      </c>
      <c r="H59" s="124" t="e">
        <v>#REF!</v>
      </c>
      <c r="I59" s="131"/>
      <c r="J59" s="124" t="e">
        <f t="array" ref="J59:L59">MMULT(#REF!,TRANSPOSE($F$31:$H$33))</f>
        <v>#REF!</v>
      </c>
      <c r="K59" s="14" t="e">
        <v>#REF!</v>
      </c>
      <c r="L59" s="14" t="e">
        <v>#REF!</v>
      </c>
      <c r="M59" s="2"/>
      <c r="N59" s="14"/>
      <c r="O59" s="14"/>
      <c r="P59" s="14"/>
      <c r="Q59" s="2"/>
      <c r="R59" s="14"/>
      <c r="S59" s="14"/>
      <c r="T59" s="14"/>
      <c r="AL59" s="2" t="s">
        <v>30</v>
      </c>
      <c r="AM59" s="14" t="e">
        <f t="array" ref="AM59:AO59">MMULT(#REF!,TRANSPOSE($F$31:$H$33))</f>
        <v>#REF!</v>
      </c>
      <c r="AN59" s="124" t="e">
        <v>#REF!</v>
      </c>
      <c r="AO59" s="124" t="e">
        <v>#REF!</v>
      </c>
      <c r="AQ59" s="2" t="s">
        <v>30</v>
      </c>
      <c r="AR59" s="133" t="e">
        <f>($AM59-F59)*1000</f>
        <v>#REF!</v>
      </c>
      <c r="AS59" s="133" t="e">
        <f>($AN59-G59)*1000</f>
        <v>#REF!</v>
      </c>
      <c r="AT59" s="133" t="e">
        <f>($AO59-H59)*1000</f>
        <v>#REF!</v>
      </c>
      <c r="AU59" s="1"/>
      <c r="AV59" s="133" t="e">
        <f>($AM59-J59)*1000</f>
        <v>#REF!</v>
      </c>
      <c r="AW59" s="133" t="e">
        <f>($AN59-K59)*1000</f>
        <v>#REF!</v>
      </c>
      <c r="AX59" s="133" t="e">
        <f>($AO59-L59)*1000</f>
        <v>#REF!</v>
      </c>
      <c r="AZ59" s="133"/>
      <c r="BA59" s="133"/>
      <c r="BB59" s="133"/>
      <c r="BH59" s="168" t="s">
        <v>30</v>
      </c>
      <c r="BI59" s="169" t="e">
        <f t="shared" si="4"/>
        <v>#REF!</v>
      </c>
      <c r="BJ59" s="169" t="e">
        <f t="shared" si="4"/>
        <v>#REF!</v>
      </c>
      <c r="BK59" s="169" t="e">
        <f t="shared" si="4"/>
        <v>#REF!</v>
      </c>
      <c r="BL59" s="170"/>
      <c r="BM59" s="169" t="e">
        <f t="shared" si="3"/>
        <v>#REF!</v>
      </c>
      <c r="BN59" s="169" t="e">
        <f t="shared" si="3"/>
        <v>#REF!</v>
      </c>
      <c r="BO59" s="169" t="e">
        <f t="shared" si="3"/>
        <v>#REF!</v>
      </c>
      <c r="BP59" s="168">
        <f t="shared" ref="BP59:BP60" si="6">COUNTA(AR59,AV59,AZ59,BD59)</f>
        <v>2</v>
      </c>
    </row>
    <row r="60" spans="3:68">
      <c r="C60" s="2" t="s">
        <v>31</v>
      </c>
      <c r="D60" s="2"/>
      <c r="E60" s="2"/>
      <c r="F60" s="14" t="e">
        <f t="array" ref="F60:H60">MMULT(#REF!,TRANSPOSE($F$31:$H$33))</f>
        <v>#REF!</v>
      </c>
      <c r="G60" s="124" t="e">
        <v>#REF!</v>
      </c>
      <c r="H60" s="124" t="e">
        <v>#REF!</v>
      </c>
      <c r="I60" s="131"/>
      <c r="J60" s="124" t="e">
        <f t="array" ref="J60:L60">MMULT(#REF!,TRANSPOSE($F$31:$H$33))</f>
        <v>#REF!</v>
      </c>
      <c r="K60" s="14" t="e">
        <v>#REF!</v>
      </c>
      <c r="L60" s="14" t="e">
        <v>#REF!</v>
      </c>
      <c r="M60" s="2"/>
      <c r="N60" s="14"/>
      <c r="O60" s="14"/>
      <c r="P60" s="14"/>
      <c r="Q60" s="2"/>
      <c r="R60" s="2"/>
      <c r="S60" s="2"/>
      <c r="T60" s="2"/>
      <c r="AL60" s="2" t="s">
        <v>31</v>
      </c>
      <c r="AM60" s="14" t="e">
        <f t="array" ref="AM60:AO60">MMULT(#REF!,TRANSPOSE($F$31:$H$33))</f>
        <v>#REF!</v>
      </c>
      <c r="AN60" s="124" t="e">
        <v>#REF!</v>
      </c>
      <c r="AO60" s="124" t="e">
        <v>#REF!</v>
      </c>
      <c r="AQ60" s="2" t="s">
        <v>31</v>
      </c>
      <c r="AR60" s="133" t="e">
        <f>($AM60-F60)*1000</f>
        <v>#REF!</v>
      </c>
      <c r="AS60" s="133" t="e">
        <f>($AN60-G60)*1000</f>
        <v>#REF!</v>
      </c>
      <c r="AT60" s="133" t="e">
        <f>($AO60-H60)*1000</f>
        <v>#REF!</v>
      </c>
      <c r="AU60" s="1"/>
      <c r="AV60" s="133" t="e">
        <f>($AM60-J60)*1000</f>
        <v>#REF!</v>
      </c>
      <c r="AW60" s="133" t="e">
        <f>($AN60-K60)*1000</f>
        <v>#REF!</v>
      </c>
      <c r="AX60" s="133" t="e">
        <f>($AO60-L60)*1000</f>
        <v>#REF!</v>
      </c>
      <c r="AZ60" s="133"/>
      <c r="BA60" s="133"/>
      <c r="BB60" s="133"/>
      <c r="BH60" s="168" t="s">
        <v>31</v>
      </c>
      <c r="BI60" s="169" t="e">
        <f t="shared" si="4"/>
        <v>#REF!</v>
      </c>
      <c r="BJ60" s="169" t="e">
        <f t="shared" si="4"/>
        <v>#REF!</v>
      </c>
      <c r="BK60" s="169" t="e">
        <f t="shared" si="4"/>
        <v>#REF!</v>
      </c>
      <c r="BL60" s="170"/>
      <c r="BM60" s="169" t="e">
        <f t="shared" si="3"/>
        <v>#REF!</v>
      </c>
      <c r="BN60" s="169" t="e">
        <f t="shared" si="3"/>
        <v>#REF!</v>
      </c>
      <c r="BO60" s="169" t="e">
        <f t="shared" si="3"/>
        <v>#REF!</v>
      </c>
      <c r="BP60" s="168">
        <f t="shared" si="6"/>
        <v>2</v>
      </c>
    </row>
    <row r="61" spans="3:68" ht="15.75" thickBot="1">
      <c r="C61" s="144" t="s">
        <v>140</v>
      </c>
      <c r="D61" s="7"/>
      <c r="E61" s="7"/>
      <c r="F61" s="14" t="e">
        <f t="array" ref="F61:H61">MMULT(#REF!,TRANSPOSE($F$31:$H$33))</f>
        <v>#REF!</v>
      </c>
      <c r="G61" s="124" t="e">
        <v>#REF!</v>
      </c>
      <c r="H61" s="124" t="e">
        <v>#REF!</v>
      </c>
      <c r="I61" s="134"/>
      <c r="J61" s="14" t="e">
        <f t="array" ref="J61:L61">MMULT(#REF!,TRANSPOSE($F$31:$H$33))</f>
        <v>#REF!</v>
      </c>
      <c r="K61" s="124" t="e">
        <v>#REF!</v>
      </c>
      <c r="L61" s="124" t="e">
        <v>#REF!</v>
      </c>
      <c r="M61" s="7"/>
      <c r="N61" s="14" t="e">
        <f t="array" ref="N61:P61">MMULT(#REF!,TRANSPOSE($F$31:$H$33))</f>
        <v>#REF!</v>
      </c>
      <c r="O61" s="124" t="e">
        <v>#REF!</v>
      </c>
      <c r="P61" s="124" t="e">
        <v>#REF!</v>
      </c>
      <c r="Q61" s="7"/>
      <c r="R61" s="14" t="e">
        <f t="array" ref="R61:T61">MMULT(#REF!,TRANSPOSE($F$31:$H$33))</f>
        <v>#REF!</v>
      </c>
      <c r="S61" s="124" t="e">
        <v>#REF!</v>
      </c>
      <c r="T61" s="124" t="e">
        <v>#REF!</v>
      </c>
      <c r="AL61" s="7"/>
      <c r="AM61" s="16"/>
      <c r="AN61" s="129"/>
      <c r="AO61" s="129"/>
      <c r="AR61" s="157"/>
      <c r="AS61" s="157"/>
      <c r="AT61" s="157"/>
      <c r="AU61" s="1"/>
      <c r="AV61" s="157"/>
      <c r="AW61" s="157"/>
      <c r="AX61" s="157"/>
      <c r="AZ61" s="157"/>
      <c r="BA61" s="157"/>
      <c r="BB61" s="157"/>
      <c r="BH61" s="7"/>
      <c r="BI61" s="8"/>
      <c r="BJ61" s="8"/>
      <c r="BK61" s="8"/>
      <c r="BM61" s="8"/>
      <c r="BN61" s="8"/>
      <c r="BO61" s="8"/>
      <c r="BP61" s="7"/>
    </row>
    <row r="62" spans="3:68">
      <c r="C62" s="144" t="s">
        <v>165</v>
      </c>
      <c r="D62" s="7"/>
      <c r="E62" s="7"/>
      <c r="F62" s="14">
        <f t="array" ref="F62:H62">MMULT(F47:H47,TRANSPOSE($F$31:$H$33))</f>
        <v>7.3299096181144643</v>
      </c>
      <c r="G62" s="124">
        <v>-4.7338668958307411</v>
      </c>
      <c r="H62" s="124">
        <v>4.4589967536210295</v>
      </c>
      <c r="I62" s="134"/>
      <c r="J62" s="14">
        <f t="array" ref="J62:L62">MMULT(J47:L47,TRANSPOSE($F$31:$H$33))</f>
        <v>7.3292861951975965</v>
      </c>
      <c r="K62" s="124">
        <v>-4.732931355174907</v>
      </c>
      <c r="L62" s="124">
        <v>4.4604514378214191</v>
      </c>
      <c r="M62" s="7"/>
      <c r="N62" s="14">
        <f t="array" ref="N62:P62">MMULT(N47:P47,TRANSPOSE($F$31:$H$33))</f>
        <v>7.3282617232643545</v>
      </c>
      <c r="O62" s="124">
        <v>-4.733752506874108</v>
      </c>
      <c r="P62" s="124">
        <v>4.4572614275761442</v>
      </c>
      <c r="Q62" s="7"/>
      <c r="R62" s="14">
        <f t="array" ref="R62:T62">MMULT(R47:T47,TRANSPOSE($F$31:$H$33))</f>
        <v>7.3343522214377783</v>
      </c>
      <c r="S62" s="124">
        <v>-4.7318818627483035</v>
      </c>
      <c r="T62" s="124">
        <v>4.4577267470416526</v>
      </c>
      <c r="AL62" s="160" t="s">
        <v>164</v>
      </c>
      <c r="AM62" s="124">
        <v>1.532</v>
      </c>
      <c r="AN62" s="124">
        <v>10.019</v>
      </c>
      <c r="AO62" s="124">
        <v>4.4429999999999996</v>
      </c>
      <c r="AQ62" s="2" t="s">
        <v>156</v>
      </c>
      <c r="AR62" s="14">
        <f>($AM62-F62)*1000</f>
        <v>-5797.9096181144641</v>
      </c>
      <c r="AS62" s="14">
        <f>($AN62-G62)*1000</f>
        <v>14752.866895830743</v>
      </c>
      <c r="AT62" s="14">
        <f>($AO62-H62)*1000</f>
        <v>-15.996753621029924</v>
      </c>
      <c r="AU62" s="1"/>
      <c r="AV62" s="14">
        <f>($AM62-J62)*1000</f>
        <v>-5797.2861951975965</v>
      </c>
      <c r="AW62" s="14">
        <f>($AN62-K62)*1000</f>
        <v>14751.931355174907</v>
      </c>
      <c r="AX62" s="14">
        <f>($AO62-L62)*1000</f>
        <v>-17.451437821419447</v>
      </c>
      <c r="AZ62" s="14">
        <f>($AM62-N62)*1000</f>
        <v>-5796.2617232643543</v>
      </c>
      <c r="BA62" s="14">
        <f>($AN62-O62)*1000</f>
        <v>14752.752506874109</v>
      </c>
      <c r="BB62" s="14">
        <f>($AO62-P62)*1000</f>
        <v>-14.26142757614457</v>
      </c>
      <c r="BD62" s="14">
        <f>($AM62-R62)*1000</f>
        <v>-5802.3522214377781</v>
      </c>
      <c r="BE62" s="14">
        <f>($AN62-S62)*1000</f>
        <v>14750.881862748305</v>
      </c>
      <c r="BF62" s="14">
        <f>($AO62-T62)*1000</f>
        <v>-14.726747041652999</v>
      </c>
      <c r="BH62" s="17" t="s">
        <v>167</v>
      </c>
      <c r="BI62" s="325" t="s">
        <v>7</v>
      </c>
      <c r="BJ62" s="325"/>
      <c r="BK62" s="325"/>
      <c r="BL62" s="32"/>
      <c r="BM62" s="325" t="s">
        <v>126</v>
      </c>
      <c r="BN62" s="325"/>
      <c r="BO62" s="325"/>
      <c r="BP62" s="19" t="s">
        <v>4</v>
      </c>
    </row>
    <row r="63" spans="3:68">
      <c r="C63" s="31"/>
      <c r="D63" s="7"/>
      <c r="E63" s="7"/>
      <c r="F63" s="16"/>
      <c r="G63" s="129"/>
      <c r="H63" s="129"/>
      <c r="I63" s="134"/>
      <c r="J63" s="16"/>
      <c r="K63" s="129"/>
      <c r="L63" s="129"/>
      <c r="M63" s="7"/>
      <c r="N63" s="16"/>
      <c r="O63" s="129"/>
      <c r="P63" s="129"/>
      <c r="Q63" s="7"/>
      <c r="R63" s="16"/>
      <c r="S63" s="129"/>
      <c r="T63" s="129"/>
      <c r="AL63" s="7"/>
      <c r="AM63" s="16"/>
      <c r="AN63" s="129"/>
      <c r="AO63" s="129"/>
      <c r="AQ63" s="7"/>
      <c r="AS63" s="157"/>
      <c r="AT63" s="157"/>
      <c r="AU63" s="1"/>
      <c r="AV63" s="157"/>
      <c r="AW63" s="157"/>
      <c r="AX63" s="157"/>
      <c r="AZ63" s="157"/>
      <c r="BA63" s="157"/>
      <c r="BB63" s="157"/>
      <c r="BH63" s="20"/>
      <c r="BI63" s="14" t="s">
        <v>5</v>
      </c>
      <c r="BJ63" s="124" t="s">
        <v>4</v>
      </c>
      <c r="BK63" s="124" t="s">
        <v>6</v>
      </c>
      <c r="BL63" s="7"/>
      <c r="BM63" s="14" t="s">
        <v>5</v>
      </c>
      <c r="BN63" s="124" t="s">
        <v>4</v>
      </c>
      <c r="BO63" s="124" t="s">
        <v>6</v>
      </c>
      <c r="BP63" s="21"/>
    </row>
    <row r="64" spans="3:68" ht="15.75" thickBot="1">
      <c r="AY64" s="1"/>
      <c r="AZ64" s="1"/>
      <c r="BA64" s="1"/>
      <c r="BH64" s="180" t="s">
        <v>164</v>
      </c>
      <c r="BI64" s="188">
        <f>AVERAGE(AR62,AV62,AZ62,BD62)</f>
        <v>-5798.4524395035478</v>
      </c>
      <c r="BJ64" s="188">
        <f>AVERAGE(AS62,AW62,BA62,BE62)</f>
        <v>14752.108155157015</v>
      </c>
      <c r="BK64" s="188">
        <f>AVERAGE(AT62,AX62,BB62,BF62)</f>
        <v>-15.609091515061735</v>
      </c>
      <c r="BL64" s="189"/>
      <c r="BM64" s="188">
        <f>STDEV(AR62,AV62,AZ62,BD62)</f>
        <v>2.6871495192753878</v>
      </c>
      <c r="BN64" s="188">
        <f>STDEV(AS62,AW62,BA62,BE62)</f>
        <v>0.91759247501691532</v>
      </c>
      <c r="BO64" s="188">
        <f>STDEV(AT62,AX62,BB62,BF62)</f>
        <v>1.4305304008148241</v>
      </c>
      <c r="BP64" s="190">
        <f>COUNTA(AR62,AV62,AZ62,BD62)</f>
        <v>4</v>
      </c>
    </row>
    <row r="65" spans="3:20">
      <c r="C65" t="s">
        <v>74</v>
      </c>
    </row>
    <row r="66" spans="3:20">
      <c r="C66" s="2" t="s">
        <v>65</v>
      </c>
      <c r="D66" s="2"/>
      <c r="E66" s="2"/>
      <c r="F66" s="14">
        <f>'NEU-Kas'!R29</f>
        <v>-12.3934</v>
      </c>
      <c r="G66" s="124">
        <f>'NEU-Kas'!Q29</f>
        <v>-76.694900000000004</v>
      </c>
      <c r="H66" s="124">
        <f>'NEU-Kas'!S29</f>
        <v>-7.7363</v>
      </c>
      <c r="I66" s="131"/>
      <c r="J66" s="131">
        <f>'NEU-Kas'!N29</f>
        <v>-12.393400000000002</v>
      </c>
      <c r="K66" s="2">
        <f>'NEU-Kas'!M29</f>
        <v>-76.695999999999998</v>
      </c>
      <c r="L66" s="2">
        <f>'NEU-Kas'!O29</f>
        <v>-7.7339000000000002</v>
      </c>
      <c r="M66" s="2"/>
      <c r="N66" s="2">
        <f>'NEU-Kas'!J29</f>
        <v>-12.392100000000001</v>
      </c>
      <c r="O66" s="2">
        <f>'NEU-Kas'!I29</f>
        <v>-76.697099999999992</v>
      </c>
      <c r="P66" s="2">
        <f>'NEU-Kas'!K29</f>
        <v>-7.7358000000000002</v>
      </c>
      <c r="Q66" s="2"/>
      <c r="R66" s="2">
        <f>'NEU-Kas'!F29</f>
        <v>-12.3889</v>
      </c>
      <c r="S66" s="2">
        <f>'NEU-Kas'!E29</f>
        <v>-76.699000000000012</v>
      </c>
      <c r="T66" s="2">
        <f>'NEU-Kas'!G29</f>
        <v>-7.7311999999999994</v>
      </c>
    </row>
    <row r="67" spans="3:20">
      <c r="C67" s="2" t="s">
        <v>29</v>
      </c>
      <c r="D67" s="2"/>
      <c r="E67" s="2"/>
      <c r="F67" s="14">
        <f>'NEU-Kas'!R30</f>
        <v>18.2865</v>
      </c>
      <c r="G67" s="124">
        <f>'NEU-Kas'!Q30</f>
        <v>-24.057400000000001</v>
      </c>
      <c r="H67" s="124">
        <f>'NEU-Kas'!S30</f>
        <v>-4.4882999999999997</v>
      </c>
      <c r="I67" s="131"/>
      <c r="J67" s="131">
        <f>'NEU-Kas'!N30</f>
        <v>18.287600000000001</v>
      </c>
      <c r="K67" s="2">
        <f>'NEU-Kas'!M30</f>
        <v>-24.057599999999994</v>
      </c>
      <c r="L67" s="2">
        <f>'NEU-Kas'!O30</f>
        <v>-4.4864999999999995</v>
      </c>
      <c r="M67" s="2"/>
      <c r="N67" s="2"/>
      <c r="O67" s="2"/>
      <c r="P67" s="2"/>
      <c r="Q67" s="2"/>
      <c r="R67" s="2"/>
      <c r="S67" s="2"/>
      <c r="T67" s="2"/>
    </row>
    <row r="68" spans="3:20">
      <c r="C68" s="2" t="s">
        <v>30</v>
      </c>
      <c r="D68" s="2"/>
      <c r="E68" s="2"/>
      <c r="F68" s="14">
        <f>'NEU-Kas'!R31</f>
        <v>-217.8415</v>
      </c>
      <c r="G68" s="124">
        <f>'NEU-Kas'!Q31</f>
        <v>-59.558800000000005</v>
      </c>
      <c r="H68" s="124">
        <f>'NEU-Kas'!S31</f>
        <v>-20.473300000000002</v>
      </c>
      <c r="I68" s="131"/>
      <c r="J68" s="131">
        <f>'NEU-Kas'!N31</f>
        <v>-217.83920000000001</v>
      </c>
      <c r="K68" s="2">
        <f>'NEU-Kas'!M31</f>
        <v>-59.561799999999991</v>
      </c>
      <c r="L68" s="2">
        <f>'NEU-Kas'!O31</f>
        <v>-20.469899999999999</v>
      </c>
      <c r="M68" s="2"/>
      <c r="N68" s="2"/>
      <c r="O68" s="2"/>
      <c r="P68" s="2"/>
      <c r="Q68" s="2"/>
      <c r="R68" s="2"/>
      <c r="S68" s="2"/>
      <c r="T68" s="2"/>
    </row>
    <row r="69" spans="3:20">
      <c r="C69" s="2" t="s">
        <v>31</v>
      </c>
      <c r="D69" s="2"/>
      <c r="E69" s="2"/>
      <c r="F69" s="14">
        <f>'NEU-Kas'!R32</f>
        <v>236.12799999999999</v>
      </c>
      <c r="G69" s="124">
        <f>'NEU-Kas'!Q32</f>
        <v>35.501400000000004</v>
      </c>
      <c r="H69" s="124">
        <f>'NEU-Kas'!S32</f>
        <v>15.984999999999999</v>
      </c>
      <c r="I69" s="131"/>
      <c r="J69" s="131">
        <f>'NEU-Kas'!N32</f>
        <v>236.1268</v>
      </c>
      <c r="K69" s="2">
        <f>'NEU-Kas'!M32</f>
        <v>35.504199999999997</v>
      </c>
      <c r="L69" s="2">
        <f>'NEU-Kas'!O32</f>
        <v>15.9834</v>
      </c>
      <c r="M69" s="2"/>
      <c r="N69" s="2"/>
      <c r="O69" s="2"/>
      <c r="P69" s="2"/>
      <c r="Q69" s="2"/>
      <c r="R69" s="2"/>
      <c r="S69" s="2"/>
      <c r="T69" s="2"/>
    </row>
    <row r="70" spans="3:20">
      <c r="C70" s="31" t="s">
        <v>73</v>
      </c>
    </row>
    <row r="71" spans="3:20">
      <c r="C71" s="2" t="s">
        <v>65</v>
      </c>
      <c r="D71" s="2"/>
      <c r="E71" s="2"/>
      <c r="F71" s="6" t="e">
        <f>(F66-F53)*1000</f>
        <v>#REF!</v>
      </c>
      <c r="G71" s="133" t="e">
        <f t="shared" ref="G71:T71" si="7">(G66-G53)*1000</f>
        <v>#REF!</v>
      </c>
      <c r="H71" s="133" t="e">
        <f t="shared" si="7"/>
        <v>#REF!</v>
      </c>
      <c r="I71" s="133"/>
      <c r="J71" s="133" t="e">
        <f t="shared" si="7"/>
        <v>#REF!</v>
      </c>
      <c r="K71" s="6" t="e">
        <f t="shared" si="7"/>
        <v>#REF!</v>
      </c>
      <c r="L71" s="6" t="e">
        <f t="shared" si="7"/>
        <v>#REF!</v>
      </c>
      <c r="M71" s="6"/>
      <c r="N71" s="6" t="e">
        <f t="shared" si="7"/>
        <v>#REF!</v>
      </c>
      <c r="O71" s="6" t="e">
        <f t="shared" si="7"/>
        <v>#REF!</v>
      </c>
      <c r="P71" s="6" t="e">
        <f t="shared" si="7"/>
        <v>#REF!</v>
      </c>
      <c r="Q71" s="6">
        <f t="shared" si="7"/>
        <v>0</v>
      </c>
      <c r="R71" s="6" t="e">
        <f t="shared" si="7"/>
        <v>#REF!</v>
      </c>
      <c r="S71" s="6" t="e">
        <f t="shared" si="7"/>
        <v>#REF!</v>
      </c>
      <c r="T71" s="6" t="e">
        <f t="shared" si="7"/>
        <v>#REF!</v>
      </c>
    </row>
    <row r="72" spans="3:20">
      <c r="C72" s="2" t="s">
        <v>29</v>
      </c>
      <c r="D72" s="2"/>
      <c r="E72" s="2"/>
      <c r="F72" s="6" t="e">
        <f t="shared" ref="F72:L72" si="8">(F67-F56)*1000</f>
        <v>#VALUE!</v>
      </c>
      <c r="G72" s="133" t="e">
        <f t="shared" si="8"/>
        <v>#VALUE!</v>
      </c>
      <c r="H72" s="133" t="e">
        <f t="shared" si="8"/>
        <v>#VALUE!</v>
      </c>
      <c r="I72" s="133"/>
      <c r="J72" s="133">
        <f t="shared" si="8"/>
        <v>52300.488584032777</v>
      </c>
      <c r="K72" s="6">
        <f t="shared" si="8"/>
        <v>-4395.2329171637457</v>
      </c>
      <c r="L72" s="6">
        <f t="shared" si="8"/>
        <v>-4187.8836882183296</v>
      </c>
      <c r="M72" s="6"/>
      <c r="N72" s="6"/>
      <c r="O72" s="6"/>
      <c r="P72" s="6"/>
      <c r="Q72" s="6"/>
      <c r="R72" s="6"/>
      <c r="S72" s="6"/>
      <c r="T72" s="6"/>
    </row>
    <row r="73" spans="3:20">
      <c r="C73" s="2" t="s">
        <v>30</v>
      </c>
      <c r="D73" s="2"/>
      <c r="E73" s="2"/>
      <c r="F73" s="6" t="e">
        <f t="shared" ref="F73:L74" si="9">(F68-F59)*1000</f>
        <v>#REF!</v>
      </c>
      <c r="G73" s="133" t="e">
        <f t="shared" si="9"/>
        <v>#REF!</v>
      </c>
      <c r="H73" s="133" t="e">
        <f t="shared" si="9"/>
        <v>#REF!</v>
      </c>
      <c r="I73" s="133"/>
      <c r="J73" s="133" t="e">
        <f t="shared" si="9"/>
        <v>#REF!</v>
      </c>
      <c r="K73" s="6" t="e">
        <f t="shared" si="9"/>
        <v>#REF!</v>
      </c>
      <c r="L73" s="6" t="e">
        <f t="shared" si="9"/>
        <v>#REF!</v>
      </c>
      <c r="M73" s="6"/>
      <c r="N73" s="6"/>
      <c r="O73" s="6"/>
      <c r="P73" s="6"/>
      <c r="Q73" s="6"/>
      <c r="R73" s="6"/>
      <c r="S73" s="6"/>
      <c r="T73" s="6"/>
    </row>
    <row r="74" spans="3:20">
      <c r="C74" s="2" t="s">
        <v>31</v>
      </c>
      <c r="D74" s="2"/>
      <c r="E74" s="2"/>
      <c r="F74" s="6" t="e">
        <f t="shared" si="9"/>
        <v>#REF!</v>
      </c>
      <c r="G74" s="133" t="e">
        <f t="shared" si="9"/>
        <v>#REF!</v>
      </c>
      <c r="H74" s="133" t="e">
        <f t="shared" si="9"/>
        <v>#REF!</v>
      </c>
      <c r="I74" s="133"/>
      <c r="J74" s="133" t="e">
        <f t="shared" si="9"/>
        <v>#REF!</v>
      </c>
      <c r="K74" s="6" t="e">
        <f t="shared" si="9"/>
        <v>#REF!</v>
      </c>
      <c r="L74" s="6" t="e">
        <f t="shared" si="9"/>
        <v>#REF!</v>
      </c>
      <c r="M74" s="6"/>
      <c r="N74" s="6"/>
      <c r="O74" s="6"/>
      <c r="P74" s="6"/>
      <c r="Q74" s="6"/>
      <c r="R74" s="6"/>
      <c r="S74" s="6"/>
      <c r="T74" s="6"/>
    </row>
  </sheetData>
  <mergeCells count="35">
    <mergeCell ref="V8:X8"/>
    <mergeCell ref="Z8:AB8"/>
    <mergeCell ref="BD8:BF8"/>
    <mergeCell ref="BH8:BJ8"/>
    <mergeCell ref="BL8:BN8"/>
    <mergeCell ref="BP8:BR8"/>
    <mergeCell ref="F19:H19"/>
    <mergeCell ref="J19:L19"/>
    <mergeCell ref="AD8:AF8"/>
    <mergeCell ref="AH8:AJ8"/>
    <mergeCell ref="AL8:AN8"/>
    <mergeCell ref="AP8:AR8"/>
    <mergeCell ref="AT8:AV8"/>
    <mergeCell ref="AX8:AZ8"/>
    <mergeCell ref="F8:H8"/>
    <mergeCell ref="J8:L8"/>
    <mergeCell ref="N8:P8"/>
    <mergeCell ref="R8:T8"/>
    <mergeCell ref="F20:H20"/>
    <mergeCell ref="J20:L20"/>
    <mergeCell ref="N20:P20"/>
    <mergeCell ref="R20:T20"/>
    <mergeCell ref="F43:H43"/>
    <mergeCell ref="J43:L43"/>
    <mergeCell ref="N43:P43"/>
    <mergeCell ref="R43:T43"/>
    <mergeCell ref="BM51:BO51"/>
    <mergeCell ref="BI62:BK62"/>
    <mergeCell ref="BM62:BO62"/>
    <mergeCell ref="AP43:AR43"/>
    <mergeCell ref="F51:H51"/>
    <mergeCell ref="J51:L51"/>
    <mergeCell ref="N51:P51"/>
    <mergeCell ref="R51:T51"/>
    <mergeCell ref="BI51:BK51"/>
  </mergeCells>
  <pageMargins left="0.7" right="0.7" top="0.75" bottom="0.75" header="0.3" footer="0.3"/>
  <pageSetup paperSize="9" orientation="portrait" horizontalDpi="4294967294"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0C7B2-FA14-4CD1-A8D6-2AB36CD88D72}">
  <dimension ref="A1:AH87"/>
  <sheetViews>
    <sheetView topLeftCell="A64" workbookViewId="0">
      <selection activeCell="H77" sqref="H77"/>
    </sheetView>
  </sheetViews>
  <sheetFormatPr defaultRowHeight="15"/>
  <cols>
    <col min="1" max="1" width="11.42578125" customWidth="1"/>
    <col min="2" max="2" width="5.7109375" customWidth="1"/>
    <col min="3" max="3" width="12.28515625" customWidth="1"/>
    <col min="5" max="5" width="18.28515625" style="1" customWidth="1"/>
    <col min="6" max="7" width="15.42578125" style="1" customWidth="1"/>
    <col min="8" max="8" width="8.85546875" customWidth="1"/>
    <col min="9" max="9" width="7.85546875" style="200" customWidth="1"/>
    <col min="10" max="10" width="3.85546875" style="9" customWidth="1"/>
    <col min="11" max="11" width="9.5703125" style="200" bestFit="1" customWidth="1"/>
    <col min="12" max="12" width="9.140625" style="200"/>
    <col min="15" max="16" width="11.42578125" customWidth="1"/>
    <col min="23" max="23" width="12" bestFit="1" customWidth="1"/>
    <col min="29" max="31" width="6.28515625" customWidth="1"/>
  </cols>
  <sheetData>
    <row r="1" spans="1:34" ht="15.75" thickBot="1">
      <c r="C1" t="s">
        <v>178</v>
      </c>
      <c r="D1" t="s">
        <v>177</v>
      </c>
      <c r="P1" s="249" t="s">
        <v>215</v>
      </c>
      <c r="W1" t="s">
        <v>216</v>
      </c>
      <c r="Y1" s="54" t="s">
        <v>217</v>
      </c>
      <c r="Z1" s="54" t="s">
        <v>218</v>
      </c>
      <c r="AA1" s="54"/>
      <c r="AF1" t="s">
        <v>223</v>
      </c>
    </row>
    <row r="2" spans="1:34">
      <c r="P2" s="249"/>
      <c r="X2" s="2" t="s">
        <v>181</v>
      </c>
      <c r="Y2" s="2">
        <v>16.399999999999999</v>
      </c>
      <c r="Z2" s="2">
        <v>-24.3</v>
      </c>
      <c r="AA2" s="2" t="s">
        <v>219</v>
      </c>
      <c r="AB2" s="2">
        <f>RADIANS(Y2/3600)</f>
        <v>7.9509443701963883E-5</v>
      </c>
      <c r="AC2" s="2">
        <f>RADIANS(Z2/3600)</f>
        <v>-1.1780972450961724E-4</v>
      </c>
      <c r="AD2" s="2" t="s">
        <v>220</v>
      </c>
      <c r="AF2" s="17">
        <v>1</v>
      </c>
      <c r="AG2" s="18">
        <v>0</v>
      </c>
      <c r="AH2" s="19">
        <f>-AF4</f>
        <v>24.3</v>
      </c>
    </row>
    <row r="3" spans="1:34">
      <c r="P3" s="249"/>
      <c r="X3" s="2" t="s">
        <v>187</v>
      </c>
      <c r="Y3" s="2">
        <v>11.4</v>
      </c>
      <c r="Z3" s="2">
        <v>-17.399999999999999</v>
      </c>
      <c r="AA3" s="2" t="s">
        <v>219</v>
      </c>
      <c r="AB3" s="2">
        <f t="shared" ref="AB3:AB5" si="0">RADIANS(Y3/3600)</f>
        <v>5.5268759646487099E-5</v>
      </c>
      <c r="AC3" s="2">
        <f t="shared" ref="AC3:AC5" si="1">RADIANS(Z3/3600)</f>
        <v>-8.4357580513059246E-5</v>
      </c>
      <c r="AD3" s="2" t="s">
        <v>220</v>
      </c>
      <c r="AF3" s="20">
        <v>0</v>
      </c>
      <c r="AG3" s="2">
        <v>1</v>
      </c>
      <c r="AH3" s="21">
        <f>-AG4</f>
        <v>-16.399999999999999</v>
      </c>
    </row>
    <row r="4" spans="1:34" ht="15.75" thickBot="1">
      <c r="P4" s="249"/>
      <c r="X4" s="2" t="s">
        <v>221</v>
      </c>
      <c r="Y4" s="2">
        <v>-1.9</v>
      </c>
      <c r="Z4" s="2">
        <v>-9.3000000000000007</v>
      </c>
      <c r="AA4" s="2" t="s">
        <v>219</v>
      </c>
      <c r="AB4" s="2">
        <f t="shared" si="0"/>
        <v>-9.2114599410811831E-6</v>
      </c>
      <c r="AC4" s="2">
        <f t="shared" si="1"/>
        <v>-4.5087672343186846E-5</v>
      </c>
      <c r="AD4" s="2" t="s">
        <v>220</v>
      </c>
      <c r="AF4" s="22">
        <f>Z2</f>
        <v>-24.3</v>
      </c>
      <c r="AG4" s="23">
        <f>Y2</f>
        <v>16.399999999999999</v>
      </c>
      <c r="AH4" s="24">
        <v>1</v>
      </c>
    </row>
    <row r="5" spans="1:34">
      <c r="C5" t="s">
        <v>180</v>
      </c>
      <c r="D5" t="s">
        <v>181</v>
      </c>
      <c r="Q5" t="s">
        <v>213</v>
      </c>
      <c r="U5" t="s">
        <v>181</v>
      </c>
      <c r="X5" s="2" t="s">
        <v>222</v>
      </c>
      <c r="Y5" s="2">
        <v>-4.5</v>
      </c>
      <c r="Z5" s="2">
        <v>13.6</v>
      </c>
      <c r="AA5" s="2" t="s">
        <v>219</v>
      </c>
      <c r="AB5" s="2">
        <f t="shared" si="0"/>
        <v>-2.1816615649929121E-5</v>
      </c>
      <c r="AC5" s="2">
        <f t="shared" si="1"/>
        <v>6.5934660630896893E-5</v>
      </c>
      <c r="AD5" s="2" t="s">
        <v>220</v>
      </c>
    </row>
    <row r="6" spans="1:34">
      <c r="A6" s="2"/>
      <c r="B6" s="2"/>
      <c r="C6" s="2" t="s">
        <v>179</v>
      </c>
      <c r="D6" s="2"/>
      <c r="E6" s="6"/>
      <c r="F6" s="6"/>
      <c r="G6" s="6"/>
      <c r="H6" s="2"/>
      <c r="I6" s="201" t="s">
        <v>184</v>
      </c>
      <c r="J6" s="191"/>
      <c r="K6" s="201"/>
      <c r="L6" s="201"/>
    </row>
    <row r="7" spans="1:34" ht="15.75" thickBot="1">
      <c r="A7" s="60"/>
      <c r="B7" s="60"/>
      <c r="C7" s="60"/>
      <c r="D7" s="60"/>
      <c r="E7" s="216" t="s">
        <v>22</v>
      </c>
      <c r="F7" s="217" t="s">
        <v>23</v>
      </c>
      <c r="G7" s="217" t="s">
        <v>24</v>
      </c>
      <c r="H7" s="218"/>
      <c r="I7" s="219"/>
      <c r="J7" s="113"/>
      <c r="K7" s="219" t="s">
        <v>183</v>
      </c>
      <c r="L7" s="219" t="s">
        <v>182</v>
      </c>
      <c r="O7" t="s">
        <v>214</v>
      </c>
      <c r="P7" t="s">
        <v>207</v>
      </c>
      <c r="Q7" s="216" t="s">
        <v>22</v>
      </c>
      <c r="R7" s="217" t="s">
        <v>23</v>
      </c>
      <c r="S7" s="217" t="s">
        <v>24</v>
      </c>
      <c r="U7" s="219" t="s">
        <v>183</v>
      </c>
      <c r="V7" s="219" t="s">
        <v>182</v>
      </c>
    </row>
    <row r="8" spans="1:34" ht="15.75" thickTop="1">
      <c r="A8" s="56" t="s">
        <v>25</v>
      </c>
      <c r="B8" s="56"/>
      <c r="C8" s="56" t="s">
        <v>172</v>
      </c>
      <c r="D8" s="56"/>
      <c r="E8" s="50">
        <v>-3997505.6472</v>
      </c>
      <c r="F8" s="50">
        <v>3276878.3757000002</v>
      </c>
      <c r="G8" s="50">
        <v>3724240.6880000001</v>
      </c>
      <c r="H8" s="50"/>
      <c r="I8" s="220">
        <v>7334</v>
      </c>
      <c r="J8" s="221"/>
      <c r="K8" s="220">
        <v>1996</v>
      </c>
      <c r="L8" s="220">
        <v>275</v>
      </c>
      <c r="N8" t="str">
        <f>A8</f>
        <v>Kas11-CP0</v>
      </c>
      <c r="O8" t="str">
        <f>C8</f>
        <v>21701S006</v>
      </c>
      <c r="P8" s="248">
        <f>I8</f>
        <v>7334</v>
      </c>
      <c r="Q8" s="250">
        <f>H11kas!AX13</f>
        <v>-22.584435863200778</v>
      </c>
      <c r="R8" s="250">
        <f>H11kas!AY13</f>
        <v>51.008274999916992</v>
      </c>
      <c r="S8" s="250">
        <f>H11kas!AZ13</f>
        <v>-74.265021519732784</v>
      </c>
      <c r="U8" s="248">
        <f>K8</f>
        <v>1996</v>
      </c>
      <c r="V8" s="248">
        <f>L8</f>
        <v>275</v>
      </c>
    </row>
    <row r="9" spans="1:34">
      <c r="A9" s="2"/>
      <c r="B9" s="2"/>
      <c r="C9" s="2"/>
      <c r="D9" s="2"/>
      <c r="E9" s="6">
        <v>0.6</v>
      </c>
      <c r="F9" s="6">
        <v>1</v>
      </c>
      <c r="G9" s="6">
        <v>0.3</v>
      </c>
      <c r="H9" s="2"/>
      <c r="I9" s="201"/>
      <c r="J9" s="191"/>
      <c r="K9" s="201"/>
      <c r="L9" s="201"/>
      <c r="N9" t="s">
        <v>185</v>
      </c>
      <c r="Q9" s="2"/>
      <c r="R9" s="2"/>
      <c r="S9" s="2"/>
      <c r="T9" s="2"/>
      <c r="U9" s="2"/>
      <c r="V9" s="2"/>
    </row>
    <row r="10" spans="1:34">
      <c r="A10" s="14" t="s">
        <v>139</v>
      </c>
      <c r="B10" s="14"/>
      <c r="C10" s="2" t="s">
        <v>201</v>
      </c>
      <c r="D10" s="2"/>
      <c r="E10" s="124">
        <v>-3997484.3114</v>
      </c>
      <c r="F10" s="124">
        <v>3276846.8459999999</v>
      </c>
      <c r="G10" s="124">
        <v>3724296.5948000001</v>
      </c>
      <c r="H10" s="2"/>
      <c r="I10" s="201">
        <v>7335</v>
      </c>
      <c r="J10" s="191"/>
      <c r="K10" s="202">
        <v>1996</v>
      </c>
      <c r="L10" s="202">
        <v>275</v>
      </c>
      <c r="N10" t="str">
        <f>A10</f>
        <v>SLR-S2(RT)</v>
      </c>
      <c r="O10" t="str">
        <f>C10</f>
        <v>21701M002</v>
      </c>
      <c r="P10" s="248">
        <f>I10</f>
        <v>7335</v>
      </c>
      <c r="Q10" s="2">
        <f>H11kas!AX12</f>
        <v>-1.2514250858373959</v>
      </c>
      <c r="R10" s="2">
        <f>H11kas!AY12</f>
        <v>19.480306739166352</v>
      </c>
      <c r="S10" s="2">
        <f>H11kas!AZ12</f>
        <v>-18.356144374768476</v>
      </c>
      <c r="T10" s="2"/>
      <c r="U10" s="251">
        <f>K10</f>
        <v>1996</v>
      </c>
      <c r="V10" s="251">
        <f>L10</f>
        <v>275</v>
      </c>
    </row>
    <row r="11" spans="1:34">
      <c r="A11" s="2"/>
      <c r="B11" s="2"/>
      <c r="C11" s="2"/>
      <c r="D11" s="2"/>
      <c r="E11" s="6">
        <v>0.1</v>
      </c>
      <c r="F11" s="6">
        <v>0.1</v>
      </c>
      <c r="G11" s="6">
        <v>0.1</v>
      </c>
      <c r="H11" s="2"/>
      <c r="I11" s="201"/>
      <c r="J11" s="191"/>
      <c r="K11" s="201"/>
      <c r="L11" s="201"/>
      <c r="N11" t="s">
        <v>185</v>
      </c>
      <c r="Q11" s="2"/>
      <c r="R11" s="2"/>
      <c r="S11" s="2"/>
      <c r="T11" s="2"/>
      <c r="U11" s="2"/>
      <c r="V11" s="2"/>
    </row>
    <row r="12" spans="1:34">
      <c r="A12" s="14" t="s">
        <v>32</v>
      </c>
      <c r="B12" s="2"/>
      <c r="C12" s="195" t="s">
        <v>203</v>
      </c>
      <c r="D12" s="2"/>
      <c r="E12" s="14">
        <v>-3997483.5082</v>
      </c>
      <c r="F12" s="14">
        <v>3276844.2097999998</v>
      </c>
      <c r="G12" s="14">
        <v>3724307.3103999998</v>
      </c>
      <c r="H12" s="2"/>
      <c r="I12" s="195" t="s">
        <v>203</v>
      </c>
      <c r="J12" s="191"/>
      <c r="K12" s="202">
        <v>1996</v>
      </c>
      <c r="L12" s="202">
        <v>275</v>
      </c>
      <c r="N12" t="str">
        <f>A12</f>
        <v>SLR-CP0</v>
      </c>
      <c r="O12" t="str">
        <f>C12</f>
        <v>KASL</v>
      </c>
      <c r="P12" s="248" t="str">
        <f>I12</f>
        <v>KASL</v>
      </c>
      <c r="Q12" s="2">
        <f>H11kas!AX10</f>
        <v>-0.44914980025142937</v>
      </c>
      <c r="R12" s="2">
        <f>H11kas!AY10</f>
        <v>16.844287316766902</v>
      </c>
      <c r="S12" s="2">
        <f>H11kas!AZ10</f>
        <v>-7.6404004449933129</v>
      </c>
      <c r="T12" s="2"/>
      <c r="U12" s="251">
        <f>K12</f>
        <v>1996</v>
      </c>
      <c r="V12" s="251">
        <f>L12</f>
        <v>275</v>
      </c>
    </row>
    <row r="13" spans="1:34">
      <c r="A13" s="2"/>
      <c r="B13" s="2"/>
      <c r="C13" s="2"/>
      <c r="D13" s="2"/>
      <c r="E13" s="6">
        <v>0.1</v>
      </c>
      <c r="F13" s="6">
        <v>0.1</v>
      </c>
      <c r="G13" s="6">
        <v>0.1</v>
      </c>
      <c r="H13" s="2"/>
      <c r="I13" s="201"/>
      <c r="J13" s="191"/>
      <c r="K13" s="201"/>
      <c r="L13" s="201"/>
    </row>
    <row r="15" spans="1:34" ht="15.75" thickBot="1">
      <c r="Q15" s="216" t="s">
        <v>22</v>
      </c>
      <c r="R15" s="217" t="s">
        <v>23</v>
      </c>
      <c r="S15" s="217" t="s">
        <v>24</v>
      </c>
    </row>
    <row r="16" spans="1:34" ht="15.75" thickTop="1">
      <c r="A16" s="2" t="s">
        <v>25</v>
      </c>
      <c r="B16" s="2"/>
      <c r="C16" s="2" t="s">
        <v>172</v>
      </c>
      <c r="D16" s="2"/>
      <c r="E16" s="14">
        <v>-3997505.6452000001</v>
      </c>
      <c r="F16" s="14">
        <v>3276878.3755000001</v>
      </c>
      <c r="G16" s="14">
        <v>3724240.6893000002</v>
      </c>
      <c r="H16" s="2"/>
      <c r="I16" s="202">
        <v>7334</v>
      </c>
      <c r="J16" s="203"/>
      <c r="K16" s="202">
        <v>1997</v>
      </c>
      <c r="L16" s="202">
        <v>275</v>
      </c>
      <c r="N16" t="str">
        <f>A16</f>
        <v>Kas11-CP0</v>
      </c>
      <c r="O16" t="str">
        <f>C16</f>
        <v>21701S006</v>
      </c>
      <c r="P16" s="251">
        <f>I16</f>
        <v>7334</v>
      </c>
      <c r="Q16" s="2">
        <f>H11kas!AT13</f>
        <v>-22.582392205674886</v>
      </c>
      <c r="R16" s="2">
        <f>H11kas!AU13</f>
        <v>51.008022215130474</v>
      </c>
      <c r="S16" s="2">
        <f>H11kas!AV13</f>
        <v>-74.263813395624183</v>
      </c>
      <c r="U16" s="251">
        <f>K16</f>
        <v>1997</v>
      </c>
      <c r="V16" s="251">
        <f>L16</f>
        <v>275</v>
      </c>
    </row>
    <row r="17" spans="1:22">
      <c r="A17" s="2"/>
      <c r="B17" s="2"/>
      <c r="C17" s="2"/>
      <c r="D17" s="2"/>
      <c r="E17" s="6">
        <v>0.6</v>
      </c>
      <c r="F17" s="6">
        <v>1</v>
      </c>
      <c r="G17" s="6">
        <v>0.3</v>
      </c>
      <c r="H17" s="2"/>
      <c r="I17" s="201"/>
      <c r="J17" s="191"/>
      <c r="K17" s="201"/>
      <c r="L17" s="201"/>
      <c r="N17" t="s">
        <v>185</v>
      </c>
      <c r="P17" s="2"/>
      <c r="Q17" s="2"/>
      <c r="R17" s="2"/>
      <c r="S17" s="2"/>
    </row>
    <row r="18" spans="1:22">
      <c r="A18" s="14" t="s">
        <v>139</v>
      </c>
      <c r="B18" s="14"/>
      <c r="C18" s="2" t="s">
        <v>201</v>
      </c>
      <c r="D18" s="2"/>
      <c r="E18" s="124">
        <v>-3997484.3114</v>
      </c>
      <c r="F18" s="124">
        <v>3276846.8457999998</v>
      </c>
      <c r="G18" s="124">
        <v>3724296.5948999999</v>
      </c>
      <c r="H18" s="2"/>
      <c r="I18" s="201">
        <v>7335</v>
      </c>
      <c r="J18" s="191"/>
      <c r="K18" s="202">
        <v>1997</v>
      </c>
      <c r="L18" s="202">
        <v>275</v>
      </c>
      <c r="N18" t="str">
        <f>A18</f>
        <v>SLR-S2(RT)</v>
      </c>
      <c r="O18" t="str">
        <f>C18</f>
        <v>21701M002</v>
      </c>
      <c r="P18" s="251">
        <f>I18</f>
        <v>7335</v>
      </c>
      <c r="Q18" s="2">
        <f>H11kas!AT12</f>
        <v>-1.2513350505214371</v>
      </c>
      <c r="R18" s="2">
        <f>H11kas!AU12</f>
        <v>19.480103646692545</v>
      </c>
      <c r="S18" s="2">
        <f>H11kas!AV12</f>
        <v>-18.356041190035203</v>
      </c>
      <c r="U18" s="251">
        <f>K18</f>
        <v>1997</v>
      </c>
      <c r="V18" s="251">
        <f>L18</f>
        <v>275</v>
      </c>
    </row>
    <row r="19" spans="1:22">
      <c r="A19" s="2"/>
      <c r="B19" s="2"/>
      <c r="C19" s="2"/>
      <c r="D19" s="2"/>
      <c r="E19" s="6">
        <v>0.1</v>
      </c>
      <c r="F19" s="6">
        <v>0.1</v>
      </c>
      <c r="G19" s="6">
        <v>0.1</v>
      </c>
      <c r="H19" s="2"/>
      <c r="I19" s="201"/>
      <c r="J19" s="191"/>
      <c r="K19" s="201"/>
      <c r="L19" s="201"/>
      <c r="N19" t="s">
        <v>185</v>
      </c>
      <c r="P19" s="2"/>
      <c r="Q19" s="2"/>
      <c r="R19" s="2"/>
      <c r="S19" s="2"/>
    </row>
    <row r="20" spans="1:22">
      <c r="A20" s="14" t="s">
        <v>32</v>
      </c>
      <c r="B20" s="2"/>
      <c r="C20" s="195" t="s">
        <v>203</v>
      </c>
      <c r="D20" s="2"/>
      <c r="E20" s="14">
        <v>-3997483.5082</v>
      </c>
      <c r="F20" s="14">
        <v>3276844.2097999998</v>
      </c>
      <c r="G20" s="14">
        <v>3724307.3103999998</v>
      </c>
      <c r="H20" s="2"/>
      <c r="I20" s="195" t="s">
        <v>203</v>
      </c>
      <c r="J20" s="191"/>
      <c r="K20" s="202">
        <v>1997</v>
      </c>
      <c r="L20" s="202">
        <v>275</v>
      </c>
      <c r="N20" t="str">
        <f>A20</f>
        <v>SLR-CP0</v>
      </c>
      <c r="O20" t="str">
        <f>C20</f>
        <v>KASL</v>
      </c>
      <c r="P20" s="251" t="str">
        <f>I20</f>
        <v>KASL</v>
      </c>
      <c r="Q20" s="2">
        <f>H11kas!AT10</f>
        <v>-0.45289542151102591</v>
      </c>
      <c r="R20" s="2">
        <f>H11kas!AU10</f>
        <v>16.844512411371831</v>
      </c>
      <c r="S20" s="2">
        <f>H11kas!AV10</f>
        <v>-7.6379489853944378</v>
      </c>
      <c r="U20" s="251">
        <f>K20</f>
        <v>1997</v>
      </c>
      <c r="V20" s="251">
        <f>L20</f>
        <v>275</v>
      </c>
    </row>
    <row r="21" spans="1:22">
      <c r="A21" s="2"/>
      <c r="B21" s="2"/>
      <c r="C21" s="2"/>
      <c r="D21" s="2"/>
      <c r="E21" s="6">
        <v>0.1</v>
      </c>
      <c r="F21" s="6">
        <v>0.1</v>
      </c>
      <c r="G21" s="6">
        <v>0.1</v>
      </c>
      <c r="H21" s="2"/>
      <c r="I21" s="201"/>
      <c r="J21" s="191"/>
      <c r="K21" s="201"/>
      <c r="L21" s="201"/>
      <c r="N21" t="s">
        <v>185</v>
      </c>
    </row>
    <row r="23" spans="1:22" ht="15.75" thickBot="1">
      <c r="Q23" s="216" t="s">
        <v>22</v>
      </c>
      <c r="R23" s="217" t="s">
        <v>23</v>
      </c>
      <c r="S23" s="217" t="s">
        <v>24</v>
      </c>
    </row>
    <row r="24" spans="1:22" ht="15.75" thickTop="1">
      <c r="A24" s="2" t="s">
        <v>25</v>
      </c>
      <c r="B24" s="2"/>
      <c r="C24" s="2" t="s">
        <v>172</v>
      </c>
      <c r="D24" s="2"/>
      <c r="E24" s="124">
        <v>-3997505.6455999999</v>
      </c>
      <c r="F24" s="124">
        <v>3276878.3774999999</v>
      </c>
      <c r="G24" s="124">
        <v>3724240.6913000001</v>
      </c>
      <c r="H24" s="2"/>
      <c r="I24" s="202">
        <v>7334</v>
      </c>
      <c r="J24" s="191"/>
      <c r="K24" s="202">
        <v>1998</v>
      </c>
      <c r="L24" s="202">
        <v>275</v>
      </c>
      <c r="N24" t="str">
        <f>A24</f>
        <v>Kas11-CP0</v>
      </c>
      <c r="O24" t="str">
        <f>C24</f>
        <v>21701S006</v>
      </c>
      <c r="P24" s="251">
        <f>I24</f>
        <v>7334</v>
      </c>
      <c r="Q24">
        <f>H11kas!AP13</f>
        <v>-22.582770244965861</v>
      </c>
      <c r="R24">
        <f>H11kas!AQ13</f>
        <v>51.010012670027578</v>
      </c>
      <c r="S24">
        <f>H11kas!AR13</f>
        <v>-74.261697934499452</v>
      </c>
      <c r="U24" s="251">
        <f>K24</f>
        <v>1998</v>
      </c>
      <c r="V24" s="251">
        <f>L24</f>
        <v>275</v>
      </c>
    </row>
    <row r="25" spans="1:22">
      <c r="A25" s="2"/>
      <c r="B25" s="2"/>
      <c r="C25" s="2"/>
      <c r="D25" s="2"/>
      <c r="E25" s="6">
        <v>0.6</v>
      </c>
      <c r="F25" s="6">
        <v>1</v>
      </c>
      <c r="G25" s="6">
        <v>0.3</v>
      </c>
      <c r="H25" s="2"/>
      <c r="I25" s="201"/>
      <c r="J25" s="191"/>
      <c r="K25" s="201"/>
      <c r="L25" s="201"/>
      <c r="N25" t="s">
        <v>185</v>
      </c>
    </row>
    <row r="26" spans="1:22">
      <c r="A26" s="14" t="s">
        <v>139</v>
      </c>
      <c r="B26" s="2"/>
      <c r="C26" s="2" t="s">
        <v>201</v>
      </c>
      <c r="D26" s="2"/>
      <c r="E26" s="124">
        <v>-3997484.3111999999</v>
      </c>
      <c r="F26" s="124">
        <v>3276846.8459999999</v>
      </c>
      <c r="G26" s="124">
        <v>3724296.5951999999</v>
      </c>
      <c r="H26" s="2"/>
      <c r="I26" s="201">
        <v>7335</v>
      </c>
      <c r="J26" s="191"/>
      <c r="K26" s="202">
        <v>1998</v>
      </c>
      <c r="L26" s="202">
        <v>275</v>
      </c>
      <c r="N26" t="str">
        <f>A26</f>
        <v>SLR-S2(RT)</v>
      </c>
      <c r="O26" t="str">
        <f>C26</f>
        <v>21701M002</v>
      </c>
      <c r="P26" s="251">
        <f>I26</f>
        <v>7335</v>
      </c>
      <c r="Q26">
        <f>H11kas!AP12</f>
        <v>-1.2513324670064301</v>
      </c>
      <c r="R26">
        <f>H11kas!AQ12</f>
        <v>19.48026959329659</v>
      </c>
      <c r="S26">
        <f>H11kas!AR12</f>
        <v>-18.355842808958975</v>
      </c>
      <c r="U26" s="251">
        <f>K26</f>
        <v>1998</v>
      </c>
      <c r="V26" s="251">
        <f>L26</f>
        <v>275</v>
      </c>
    </row>
    <row r="27" spans="1:22">
      <c r="A27" s="2"/>
      <c r="B27" s="2"/>
      <c r="C27" s="2"/>
      <c r="D27" s="2"/>
      <c r="E27" s="6">
        <v>0.1</v>
      </c>
      <c r="F27" s="6">
        <v>0.1</v>
      </c>
      <c r="G27" s="6">
        <v>0.1</v>
      </c>
      <c r="H27" s="2"/>
      <c r="I27" s="201"/>
      <c r="J27" s="191"/>
      <c r="K27" s="201"/>
      <c r="L27" s="201"/>
      <c r="N27" t="s">
        <v>185</v>
      </c>
    </row>
    <row r="28" spans="1:22">
      <c r="A28" s="2" t="s">
        <v>26</v>
      </c>
      <c r="B28" s="2"/>
      <c r="C28" s="2" t="s">
        <v>173</v>
      </c>
      <c r="D28" s="2"/>
      <c r="E28" s="124">
        <v>-3997649.2357999999</v>
      </c>
      <c r="F28" s="124">
        <v>3276690.7634000001</v>
      </c>
      <c r="G28" s="124">
        <v>3724278.8314</v>
      </c>
      <c r="H28" s="2"/>
      <c r="I28" s="201">
        <v>1857</v>
      </c>
      <c r="J28" s="191"/>
      <c r="K28" s="202">
        <v>1998</v>
      </c>
      <c r="L28" s="202">
        <v>275</v>
      </c>
      <c r="N28" t="str">
        <f>A28</f>
        <v>Kas34-CP0</v>
      </c>
      <c r="O28" t="str">
        <f>C28</f>
        <v>21701S004</v>
      </c>
      <c r="P28" s="251">
        <f>I28</f>
        <v>1857</v>
      </c>
      <c r="Q28">
        <f>H11kas!AP15</f>
        <v>-166.1591565739308</v>
      </c>
      <c r="R28">
        <f>H11kas!AQ15</f>
        <v>-136.61789158526159</v>
      </c>
      <c r="S28">
        <f>H11kas!AR15</f>
        <v>-36.137357090092308</v>
      </c>
      <c r="U28" s="251">
        <f>K28</f>
        <v>1998</v>
      </c>
      <c r="V28" s="251">
        <f>L28</f>
        <v>275</v>
      </c>
    </row>
    <row r="29" spans="1:22">
      <c r="A29" s="2"/>
      <c r="B29" s="2"/>
      <c r="C29" s="2"/>
      <c r="D29" s="2"/>
      <c r="E29" s="6">
        <v>0.2</v>
      </c>
      <c r="F29" s="6">
        <v>0.3</v>
      </c>
      <c r="G29" s="6">
        <v>0.3</v>
      </c>
      <c r="H29" s="2"/>
      <c r="I29" s="201"/>
      <c r="J29" s="191"/>
      <c r="K29" s="201"/>
      <c r="L29" s="201"/>
      <c r="N29" t="s">
        <v>185</v>
      </c>
    </row>
    <row r="30" spans="1:22">
      <c r="A30" s="2" t="s">
        <v>21</v>
      </c>
      <c r="B30" s="2"/>
      <c r="C30" s="2" t="s">
        <v>170</v>
      </c>
      <c r="D30" s="2"/>
      <c r="E30" s="124">
        <v>-3997525.358</v>
      </c>
      <c r="F30" s="124">
        <v>3276870.889</v>
      </c>
      <c r="G30" s="124">
        <v>3724218.5852999999</v>
      </c>
      <c r="H30" s="2"/>
      <c r="I30" s="201" t="s">
        <v>186</v>
      </c>
      <c r="J30" s="191"/>
      <c r="K30" s="202">
        <v>1998</v>
      </c>
      <c r="L30" s="202">
        <v>275</v>
      </c>
      <c r="N30" t="str">
        <f>A30</f>
        <v>PGPS</v>
      </c>
      <c r="O30" t="str">
        <f>C30</f>
        <v>21701S007</v>
      </c>
      <c r="P30" s="251" t="str">
        <f>I30</f>
        <v>KSMV</v>
      </c>
      <c r="Q30">
        <f>H11kas!AP19</f>
        <v>-42.292191208118012</v>
      </c>
      <c r="R30">
        <f>H11kas!AQ19</f>
        <v>43.519760405931322</v>
      </c>
      <c r="S30">
        <f>H11kas!AR19</f>
        <v>-96.369812703441283</v>
      </c>
      <c r="U30" s="251">
        <f>K30</f>
        <v>1998</v>
      </c>
      <c r="V30" s="251">
        <f>L30</f>
        <v>275</v>
      </c>
    </row>
    <row r="31" spans="1:22">
      <c r="A31" s="2"/>
      <c r="B31" s="2"/>
      <c r="C31" s="2"/>
      <c r="D31" s="2"/>
      <c r="E31" s="6">
        <v>0.9</v>
      </c>
      <c r="F31" s="6">
        <v>1.5</v>
      </c>
      <c r="G31" s="6">
        <v>0.4</v>
      </c>
      <c r="H31" s="2"/>
      <c r="I31" s="201"/>
      <c r="J31" s="191"/>
      <c r="K31" s="201"/>
      <c r="L31" s="201"/>
      <c r="N31" t="s">
        <v>185</v>
      </c>
    </row>
    <row r="32" spans="1:22">
      <c r="A32" s="14" t="s">
        <v>32</v>
      </c>
      <c r="B32" s="2"/>
      <c r="C32" s="195" t="s">
        <v>203</v>
      </c>
      <c r="D32" s="2"/>
      <c r="E32" s="124">
        <v>-3997483.5125000002</v>
      </c>
      <c r="F32" s="124">
        <v>3276844.2105</v>
      </c>
      <c r="G32" s="124">
        <v>3724307.3128999998</v>
      </c>
      <c r="H32" s="2"/>
      <c r="I32" s="195" t="s">
        <v>203</v>
      </c>
      <c r="J32" s="191"/>
      <c r="K32" s="202">
        <v>1998</v>
      </c>
      <c r="L32" s="202">
        <v>275</v>
      </c>
      <c r="N32" t="str">
        <f>A32</f>
        <v>SLR-CP0</v>
      </c>
      <c r="O32" t="str">
        <f>C32</f>
        <v>KASL</v>
      </c>
      <c r="P32" s="251" t="str">
        <f>I32</f>
        <v>KASL</v>
      </c>
      <c r="Q32">
        <f>H11kas!AP10</f>
        <v>-0.45345271902482143</v>
      </c>
      <c r="R32">
        <f>H11kas!AQ10</f>
        <v>16.844969149361415</v>
      </c>
      <c r="S32">
        <f>H11kas!AR10</f>
        <v>-7.6379205266826862</v>
      </c>
      <c r="U32" s="251">
        <f>K32</f>
        <v>1998</v>
      </c>
      <c r="V32" s="251">
        <f>L32</f>
        <v>275</v>
      </c>
    </row>
    <row r="33" spans="1:22">
      <c r="A33" s="2"/>
      <c r="B33" s="2"/>
      <c r="C33" s="2"/>
      <c r="D33" s="2"/>
      <c r="E33" s="6">
        <v>0.1</v>
      </c>
      <c r="F33" s="6">
        <v>0.1</v>
      </c>
      <c r="G33" s="6">
        <v>0.1</v>
      </c>
      <c r="H33" s="2"/>
      <c r="I33" s="201"/>
      <c r="J33" s="191"/>
      <c r="K33" s="201"/>
      <c r="L33" s="201"/>
      <c r="N33" t="s">
        <v>185</v>
      </c>
    </row>
    <row r="35" spans="1:22" ht="15.75" thickBot="1">
      <c r="Q35" s="216" t="s">
        <v>22</v>
      </c>
      <c r="R35" s="217" t="s">
        <v>23</v>
      </c>
      <c r="S35" s="217" t="s">
        <v>24</v>
      </c>
    </row>
    <row r="36" spans="1:22" ht="15.75" thickTop="1">
      <c r="A36" s="2" t="s">
        <v>25</v>
      </c>
      <c r="B36" s="2"/>
      <c r="C36" s="2" t="s">
        <v>172</v>
      </c>
      <c r="D36" s="2"/>
      <c r="E36" s="124">
        <v>-3997505.6439</v>
      </c>
      <c r="F36" s="124">
        <v>3276878.3768000002</v>
      </c>
      <c r="G36" s="124">
        <v>3724240.6921999999</v>
      </c>
      <c r="H36" s="2"/>
      <c r="I36" s="202">
        <v>7334</v>
      </c>
      <c r="J36" s="191"/>
      <c r="K36" s="202">
        <v>1999</v>
      </c>
      <c r="L36" s="202">
        <v>305</v>
      </c>
      <c r="N36" s="2" t="str">
        <f>A36</f>
        <v>Kas11-CP0</v>
      </c>
      <c r="O36" s="2" t="str">
        <f>C36</f>
        <v>21701S006</v>
      </c>
      <c r="P36" s="251">
        <f>I36</f>
        <v>7334</v>
      </c>
      <c r="Q36" s="56">
        <f>H11kas!AL13</f>
        <v>-22.58105451588575</v>
      </c>
      <c r="R36" s="56">
        <f>H11kas!AM13</f>
        <v>51.009382207477678</v>
      </c>
      <c r="S36" s="56">
        <f>H11kas!AN13</f>
        <v>-74.260850119215547</v>
      </c>
      <c r="U36" s="251">
        <f>K36</f>
        <v>1999</v>
      </c>
      <c r="V36" s="251">
        <f>L36</f>
        <v>305</v>
      </c>
    </row>
    <row r="37" spans="1:22">
      <c r="A37" s="2"/>
      <c r="B37" s="2"/>
      <c r="C37" s="2"/>
      <c r="D37" s="2"/>
      <c r="E37" s="6">
        <v>0.6</v>
      </c>
      <c r="F37" s="6">
        <v>1</v>
      </c>
      <c r="G37" s="6">
        <v>0.3</v>
      </c>
      <c r="H37" s="2"/>
      <c r="I37" s="201"/>
      <c r="J37" s="191"/>
      <c r="K37" s="201"/>
      <c r="L37" s="201"/>
    </row>
    <row r="38" spans="1:22">
      <c r="A38" s="14" t="s">
        <v>139</v>
      </c>
      <c r="B38" s="2"/>
      <c r="C38" s="2" t="s">
        <v>201</v>
      </c>
      <c r="D38" s="2"/>
      <c r="E38" s="124">
        <v>-3997484.3105000001</v>
      </c>
      <c r="F38" s="124">
        <v>3276846.8462</v>
      </c>
      <c r="G38" s="124">
        <v>3724296.5954999998</v>
      </c>
      <c r="H38" s="2"/>
      <c r="I38" s="201">
        <v>7335</v>
      </c>
      <c r="J38" s="191"/>
      <c r="K38" s="202">
        <v>1999</v>
      </c>
      <c r="L38" s="202">
        <v>305</v>
      </c>
      <c r="N38" s="2" t="str">
        <f>A38</f>
        <v>SLR-S2(RT)</v>
      </c>
      <c r="O38" s="2" t="str">
        <f>C38</f>
        <v>21701M002</v>
      </c>
      <c r="P38" s="251">
        <f>I38</f>
        <v>7335</v>
      </c>
      <c r="Q38" s="2">
        <f>H11kas!AL12</f>
        <v>-1.2505727255018675</v>
      </c>
      <c r="R38" s="2">
        <f>H11kas!AM12</f>
        <v>19.480513166143695</v>
      </c>
      <c r="S38" s="2">
        <f>H11kas!AN12</f>
        <v>-18.355415766653529</v>
      </c>
      <c r="U38" s="251">
        <f>K38</f>
        <v>1999</v>
      </c>
      <c r="V38" s="251">
        <f>L38</f>
        <v>305</v>
      </c>
    </row>
    <row r="39" spans="1:22">
      <c r="A39" s="2"/>
      <c r="B39" s="2"/>
      <c r="C39" s="2"/>
      <c r="D39" s="2"/>
      <c r="E39" s="6">
        <v>0.1</v>
      </c>
      <c r="F39" s="6">
        <v>0.1</v>
      </c>
      <c r="G39" s="6">
        <v>0.1</v>
      </c>
      <c r="H39" s="2"/>
      <c r="I39" s="201"/>
      <c r="J39" s="191"/>
      <c r="K39" s="201"/>
      <c r="L39" s="201"/>
    </row>
    <row r="40" spans="1:22">
      <c r="A40" s="2" t="s">
        <v>26</v>
      </c>
      <c r="B40" s="2"/>
      <c r="C40" s="2" t="s">
        <v>173</v>
      </c>
      <c r="D40" s="2"/>
      <c r="E40" s="124">
        <v>-3997649.2371</v>
      </c>
      <c r="F40" s="124">
        <v>3276690.7637</v>
      </c>
      <c r="G40" s="124">
        <v>3724278.8308999999</v>
      </c>
      <c r="H40" s="2"/>
      <c r="I40" s="201">
        <v>1857</v>
      </c>
      <c r="J40" s="191"/>
      <c r="K40" s="202">
        <v>1999</v>
      </c>
      <c r="L40" s="202">
        <v>305</v>
      </c>
      <c r="N40" s="2" t="str">
        <f>A40</f>
        <v>Kas34-CP0</v>
      </c>
      <c r="O40" s="2" t="str">
        <f>C40</f>
        <v>21701S004</v>
      </c>
      <c r="P40" s="251">
        <f>I40</f>
        <v>1857</v>
      </c>
      <c r="Q40" s="2">
        <f>H11kas!AL15</f>
        <v>-166.16047464663478</v>
      </c>
      <c r="R40" s="2">
        <f>H11kas!AM15</f>
        <v>-136.61758706017952</v>
      </c>
      <c r="S40" s="2">
        <f>H11kas!AN15</f>
        <v>-36.137836619920805</v>
      </c>
      <c r="U40" s="251">
        <f>K40</f>
        <v>1999</v>
      </c>
      <c r="V40" s="251">
        <f>L40</f>
        <v>305</v>
      </c>
    </row>
    <row r="41" spans="1:22">
      <c r="A41" s="2"/>
      <c r="B41" s="2"/>
      <c r="C41" s="2"/>
      <c r="D41" s="2"/>
      <c r="E41" s="6">
        <v>0.2</v>
      </c>
      <c r="F41" s="6">
        <v>0.3</v>
      </c>
      <c r="G41" s="6">
        <v>0.3</v>
      </c>
      <c r="H41" s="2"/>
      <c r="I41" s="201"/>
      <c r="J41" s="191"/>
      <c r="K41" s="201"/>
      <c r="L41" s="201"/>
    </row>
    <row r="42" spans="1:22">
      <c r="A42" s="2" t="s">
        <v>205</v>
      </c>
      <c r="B42" s="2"/>
      <c r="C42" s="2" t="s">
        <v>208</v>
      </c>
      <c r="D42" s="2"/>
      <c r="E42" s="124">
        <v>-3997892.2831000001</v>
      </c>
      <c r="F42" s="124">
        <v>3276581.2922999999</v>
      </c>
      <c r="G42" s="124">
        <v>3724118.2485000002</v>
      </c>
      <c r="H42" s="2"/>
      <c r="I42" s="201">
        <v>1856</v>
      </c>
      <c r="J42" s="194"/>
      <c r="K42" s="202">
        <v>1999</v>
      </c>
      <c r="L42" s="202">
        <v>305</v>
      </c>
      <c r="N42" s="2" t="s">
        <v>205</v>
      </c>
      <c r="O42" s="2" t="str">
        <f>C42</f>
        <v>21701S001</v>
      </c>
      <c r="P42" s="251">
        <f>I42</f>
        <v>1856</v>
      </c>
      <c r="Q42" s="2">
        <f>H11kas!AL17</f>
        <v>-409.17915707391876</v>
      </c>
      <c r="R42" s="2">
        <f>H11kas!AM17</f>
        <v>-246.11169848537276</v>
      </c>
      <c r="S42" s="2">
        <f>H11kas!AN17</f>
        <v>-196.74615297564679</v>
      </c>
      <c r="U42" s="251">
        <f>K42</f>
        <v>1999</v>
      </c>
      <c r="V42" s="251">
        <f>L42</f>
        <v>305</v>
      </c>
    </row>
    <row r="43" spans="1:22">
      <c r="A43" s="2"/>
      <c r="B43" s="2"/>
      <c r="C43" s="2"/>
      <c r="D43" s="2"/>
      <c r="E43" s="6">
        <v>0.3</v>
      </c>
      <c r="F43" s="6">
        <v>0.3</v>
      </c>
      <c r="G43" s="6">
        <v>0.4</v>
      </c>
      <c r="H43" s="2"/>
      <c r="I43" s="201"/>
      <c r="J43" s="194"/>
      <c r="K43" s="201"/>
      <c r="L43" s="201"/>
    </row>
    <row r="44" spans="1:22">
      <c r="A44" s="2" t="s">
        <v>21</v>
      </c>
      <c r="B44" s="2"/>
      <c r="C44" s="2" t="s">
        <v>170</v>
      </c>
      <c r="D44" s="2"/>
      <c r="E44" s="124">
        <v>-3997525.3544000001</v>
      </c>
      <c r="F44" s="124">
        <v>3276870.8883000002</v>
      </c>
      <c r="G44" s="124">
        <v>3724218.5852000001</v>
      </c>
      <c r="H44" s="2"/>
      <c r="I44" s="201" t="s">
        <v>186</v>
      </c>
      <c r="J44" s="191"/>
      <c r="K44" s="202">
        <v>1999</v>
      </c>
      <c r="L44" s="202">
        <v>305</v>
      </c>
      <c r="N44" s="2" t="str">
        <f>A44</f>
        <v>PGPS</v>
      </c>
      <c r="O44" s="2" t="str">
        <f>C44</f>
        <v>21701S007</v>
      </c>
      <c r="P44" s="251" t="str">
        <f>I44</f>
        <v>KSMV</v>
      </c>
      <c r="Q44" s="2">
        <f>H11kas!AL19</f>
        <v>-42.288605777440551</v>
      </c>
      <c r="R44" s="2">
        <f>H11kas!AM19</f>
        <v>43.519019921773392</v>
      </c>
      <c r="S44" s="2">
        <f>H11kas!AN19</f>
        <v>-96.369940650047909</v>
      </c>
      <c r="U44" s="251">
        <f>K44</f>
        <v>1999</v>
      </c>
      <c r="V44" s="251">
        <f>L44</f>
        <v>305</v>
      </c>
    </row>
    <row r="45" spans="1:22">
      <c r="A45" s="2"/>
      <c r="B45" s="2"/>
      <c r="C45" s="2"/>
      <c r="D45" s="2"/>
      <c r="E45" s="6">
        <v>0.9</v>
      </c>
      <c r="F45" s="6">
        <v>1.5</v>
      </c>
      <c r="G45" s="6">
        <v>0.4</v>
      </c>
      <c r="H45" s="2"/>
      <c r="I45" s="201"/>
      <c r="J45" s="191"/>
      <c r="K45" s="201"/>
      <c r="L45" s="201"/>
    </row>
    <row r="46" spans="1:22">
      <c r="A46" s="14" t="s">
        <v>32</v>
      </c>
      <c r="B46" s="2"/>
      <c r="C46" s="195" t="s">
        <v>203</v>
      </c>
      <c r="D46" s="2"/>
      <c r="E46" s="124">
        <v>-3997483.5126999998</v>
      </c>
      <c r="F46" s="124">
        <v>3276844.2116</v>
      </c>
      <c r="G46" s="124">
        <v>3724307.3141999999</v>
      </c>
      <c r="H46" s="2"/>
      <c r="I46" s="195" t="s">
        <v>203</v>
      </c>
      <c r="J46" s="191"/>
      <c r="K46" s="202">
        <v>1999</v>
      </c>
      <c r="L46" s="202">
        <v>305</v>
      </c>
      <c r="N46" s="2" t="str">
        <f>A46</f>
        <v>SLR-CP0</v>
      </c>
      <c r="O46" s="2" t="str">
        <f>C46</f>
        <v>KASL</v>
      </c>
      <c r="P46" s="251" t="str">
        <f>I46</f>
        <v>KASL</v>
      </c>
      <c r="Q46" s="2">
        <f>H11kas!AL10</f>
        <v>-0.45455077787888065</v>
      </c>
      <c r="R46" s="2">
        <f>H11kas!AM10</f>
        <v>16.84599825211907</v>
      </c>
      <c r="S46" s="2">
        <f>H11kas!AN10</f>
        <v>-7.6365844075454907</v>
      </c>
      <c r="U46" s="251">
        <f>K46</f>
        <v>1999</v>
      </c>
      <c r="V46" s="251">
        <f>L46</f>
        <v>305</v>
      </c>
    </row>
    <row r="47" spans="1:22">
      <c r="A47" s="2"/>
      <c r="B47" s="2"/>
      <c r="C47" s="2"/>
      <c r="D47" s="2"/>
      <c r="E47" s="6">
        <v>0.1</v>
      </c>
      <c r="F47" s="6">
        <v>0.1</v>
      </c>
      <c r="G47" s="6">
        <v>0.1</v>
      </c>
      <c r="H47" s="2"/>
      <c r="I47" s="201"/>
      <c r="J47" s="191"/>
      <c r="K47" s="201"/>
      <c r="L47" s="201"/>
    </row>
    <row r="49" spans="1:31">
      <c r="C49" t="s">
        <v>191</v>
      </c>
      <c r="F49" s="151" t="s">
        <v>22</v>
      </c>
      <c r="G49" s="151" t="s">
        <v>23</v>
      </c>
      <c r="H49" s="151" t="s">
        <v>24</v>
      </c>
      <c r="K49" s="152" t="s">
        <v>5</v>
      </c>
      <c r="L49" s="151" t="s">
        <v>4</v>
      </c>
      <c r="M49" s="151" t="s">
        <v>6</v>
      </c>
    </row>
    <row r="50" spans="1:31">
      <c r="F50" s="169">
        <v>796.87686278415958</v>
      </c>
      <c r="G50" s="169">
        <v>-2634.5461979293095</v>
      </c>
      <c r="H50" s="169">
        <v>10718.760110037703</v>
      </c>
      <c r="K50" s="210">
        <v>1532.3</v>
      </c>
      <c r="L50" s="169">
        <v>10019</v>
      </c>
      <c r="M50" s="169">
        <v>4442.8999999999996</v>
      </c>
    </row>
    <row r="51" spans="1:31">
      <c r="H51" s="1"/>
      <c r="M51" s="200"/>
    </row>
    <row r="52" spans="1:31" ht="21.75" customHeight="1" thickBot="1">
      <c r="A52" s="36"/>
      <c r="B52" s="36"/>
      <c r="C52" s="36"/>
      <c r="D52" s="36"/>
      <c r="E52" s="206"/>
      <c r="F52" s="206"/>
      <c r="G52" s="206"/>
      <c r="H52" s="36"/>
      <c r="I52" s="207"/>
      <c r="J52" s="208"/>
      <c r="K52" s="207"/>
      <c r="L52" s="207"/>
      <c r="M52" s="36"/>
      <c r="N52" s="36"/>
      <c r="O52" s="36"/>
      <c r="P52" s="36"/>
      <c r="Q52" s="36"/>
      <c r="R52" s="36"/>
      <c r="S52" s="36"/>
      <c r="T52" s="36"/>
      <c r="U52" s="36"/>
    </row>
    <row r="53" spans="1:31" ht="15.75" thickTop="1"/>
    <row r="54" spans="1:31">
      <c r="A54" t="s">
        <v>237</v>
      </c>
      <c r="C54" t="s">
        <v>192</v>
      </c>
      <c r="E54" s="6" t="s">
        <v>241</v>
      </c>
      <c r="F54" s="6">
        <f>AC56</f>
        <v>3.8999998942017555</v>
      </c>
      <c r="G54" s="6">
        <v>0.9</v>
      </c>
      <c r="H54" s="6">
        <v>0.7</v>
      </c>
      <c r="P54" t="s">
        <v>213</v>
      </c>
      <c r="U54" t="s">
        <v>238</v>
      </c>
      <c r="V54" t="s">
        <v>239</v>
      </c>
      <c r="Y54" t="s">
        <v>238</v>
      </c>
      <c r="Z54" t="s">
        <v>240</v>
      </c>
    </row>
    <row r="55" spans="1:31" ht="15.75" thickBot="1">
      <c r="A55" s="36"/>
      <c r="B55" s="36" t="s">
        <v>193</v>
      </c>
      <c r="C55" s="36" t="s">
        <v>236</v>
      </c>
      <c r="D55" s="36"/>
      <c r="E55" s="206" t="s">
        <v>22</v>
      </c>
      <c r="F55" s="206" t="s">
        <v>23</v>
      </c>
      <c r="G55" s="206" t="s">
        <v>24</v>
      </c>
      <c r="H55" s="36"/>
      <c r="I55" s="278" t="s">
        <v>207</v>
      </c>
      <c r="J55" s="279"/>
      <c r="K55" s="278" t="s">
        <v>207</v>
      </c>
      <c r="L55" s="278" t="s">
        <v>128</v>
      </c>
      <c r="Q55" s="276" t="s">
        <v>22</v>
      </c>
      <c r="R55" s="277" t="s">
        <v>23</v>
      </c>
      <c r="S55" s="277" t="s">
        <v>24</v>
      </c>
      <c r="U55" s="216" t="s">
        <v>22</v>
      </c>
      <c r="V55" s="217" t="s">
        <v>23</v>
      </c>
      <c r="W55" s="217" t="s">
        <v>24</v>
      </c>
      <c r="Y55" s="216" t="s">
        <v>22</v>
      </c>
      <c r="Z55" s="217" t="s">
        <v>23</v>
      </c>
      <c r="AA55" s="217" t="s">
        <v>24</v>
      </c>
      <c r="AC55" t="s">
        <v>126</v>
      </c>
    </row>
    <row r="56" spans="1:31" ht="15.75" thickTop="1">
      <c r="A56" s="284" t="str">
        <f>C8</f>
        <v>21701S006</v>
      </c>
      <c r="B56" s="284"/>
      <c r="C56" s="284" t="str">
        <f>C10</f>
        <v>21701M002</v>
      </c>
      <c r="E56" s="1">
        <f>(E8-E10)*1000</f>
        <v>-21335.800000000745</v>
      </c>
      <c r="F56" s="1">
        <f>(F8-F10)*1000</f>
        <v>31529.700000304729</v>
      </c>
      <c r="G56" s="1">
        <f>(G8-G10)*1000</f>
        <v>-55906.79999999702</v>
      </c>
      <c r="I56" s="280">
        <f>I8</f>
        <v>7334</v>
      </c>
      <c r="J56" s="281"/>
      <c r="K56" s="280">
        <f>I10</f>
        <v>7335</v>
      </c>
      <c r="L56" s="280" t="s">
        <v>194</v>
      </c>
      <c r="Q56" s="275">
        <f>(Q8-Q10)*1000</f>
        <v>-21333.010777363379</v>
      </c>
      <c r="R56" s="275">
        <f>(R8-R10)*1000</f>
        <v>31527.96826075064</v>
      </c>
      <c r="S56" s="275">
        <f>(S8-S10)*1000</f>
        <v>-55908.87714496431</v>
      </c>
      <c r="U56" s="1">
        <f>E56-Q56</f>
        <v>-2.7892226373660378</v>
      </c>
      <c r="V56" s="1">
        <f>F56-R56</f>
        <v>1.7317395540885627</v>
      </c>
      <c r="W56" s="1">
        <f>G56-S56</f>
        <v>2.0771449672902236</v>
      </c>
      <c r="Y56" s="1">
        <f>E56-E78</f>
        <v>-2.4000001139938831</v>
      </c>
      <c r="Z56" s="1">
        <f>F56-F78</f>
        <v>-0.89999986812472343</v>
      </c>
      <c r="AA56" s="1">
        <f>G56-G78</f>
        <v>-3.5000001080334187</v>
      </c>
      <c r="AC56" s="1">
        <f>_xlfn.STDEV.P(Y56:Y58)</f>
        <v>3.8999998942017555</v>
      </c>
      <c r="AD56" s="1">
        <f>_xlfn.STDEV.P(Z56:Z58)</f>
        <v>0.35000010393559905</v>
      </c>
      <c r="AE56" s="1">
        <f>_xlfn.STDEV.P(AA56:AA58)</f>
        <v>0.19999989308416843</v>
      </c>
    </row>
    <row r="57" spans="1:31">
      <c r="A57" s="285"/>
      <c r="B57" s="285"/>
      <c r="C57" s="285"/>
      <c r="D57" s="53"/>
      <c r="E57" s="214">
        <f>SQRT(E9^2+E11^2+F54^2)</f>
        <v>3.9471507666636834</v>
      </c>
      <c r="F57" s="214">
        <f>SQRT(F9^2+F11^2+G54^2)</f>
        <v>1.3490737563232043</v>
      </c>
      <c r="G57" s="214">
        <f>SQRT(G9^2+G11^2+H54^2)</f>
        <v>0.76811457478686085</v>
      </c>
      <c r="H57" s="53"/>
      <c r="I57" s="282"/>
      <c r="J57" s="283"/>
      <c r="K57" s="282"/>
      <c r="L57" s="282"/>
      <c r="Q57" s="274">
        <f>E57</f>
        <v>3.9471507666636834</v>
      </c>
      <c r="R57" s="274">
        <f>F57</f>
        <v>1.3490737563232043</v>
      </c>
      <c r="S57" s="274">
        <f>G57</f>
        <v>0.76811457478686085</v>
      </c>
    </row>
    <row r="58" spans="1:31">
      <c r="A58" s="284" t="str">
        <f>C12</f>
        <v>KASL</v>
      </c>
      <c r="B58" s="284"/>
      <c r="C58" s="284" t="str">
        <f>C10</f>
        <v>21701M002</v>
      </c>
      <c r="E58" s="1">
        <f>(E12-E10)*1000</f>
        <v>803.19999996572733</v>
      </c>
      <c r="F58" s="1">
        <f>(F12-F10)*1000</f>
        <v>-2636.2000000663102</v>
      </c>
      <c r="G58" s="1">
        <f>(G12-G10)*1000</f>
        <v>10715.599999763072</v>
      </c>
      <c r="I58" s="280" t="str">
        <f>I12</f>
        <v>KASL</v>
      </c>
      <c r="J58" s="281"/>
      <c r="K58" s="280">
        <f>I10</f>
        <v>7335</v>
      </c>
      <c r="L58" s="280" t="s">
        <v>194</v>
      </c>
      <c r="N58" t="s">
        <v>196</v>
      </c>
      <c r="Q58" s="275">
        <f>(Q12-Q10)*1000</f>
        <v>802.27528558596646</v>
      </c>
      <c r="R58" s="275">
        <f>(R12-R10)*1000</f>
        <v>-2636.0194223994499</v>
      </c>
      <c r="S58" s="275">
        <f>(S12-S10)*1000</f>
        <v>10715.743929775163</v>
      </c>
      <c r="U58" s="1">
        <f>E58-Q58</f>
        <v>0.92471437976087145</v>
      </c>
      <c r="V58" s="1">
        <f>F58-R58</f>
        <v>-0.18057766686024479</v>
      </c>
      <c r="W58" s="1">
        <f>G58-S58</f>
        <v>-0.14393001209100476</v>
      </c>
      <c r="Y58" s="1">
        <f>E58-E86</f>
        <v>5.3999996744096279</v>
      </c>
      <c r="Z58" s="1">
        <f>F58-F86</f>
        <v>-1.6000000759959221</v>
      </c>
      <c r="AA58" s="1">
        <f>G58-G86</f>
        <v>-3.1000003218650818</v>
      </c>
    </row>
    <row r="59" spans="1:31">
      <c r="A59" s="285"/>
      <c r="B59" s="285"/>
      <c r="C59" s="285"/>
      <c r="D59" s="53"/>
      <c r="E59" s="214">
        <f>SQRT(E11^2+E13^2+F54^2)</f>
        <v>3.9025631544888166</v>
      </c>
      <c r="F59" s="214">
        <f>SQRT(F11^2+F13^2+G54^2)</f>
        <v>0.91104335791442992</v>
      </c>
      <c r="G59" s="214">
        <f>SQRT(G11^2+G13^2+H54^2)</f>
        <v>0.71414284285428498</v>
      </c>
      <c r="H59" s="53"/>
      <c r="I59" s="282"/>
      <c r="J59" s="283"/>
      <c r="K59" s="282"/>
      <c r="L59" s="282"/>
      <c r="Q59" s="274">
        <f>E59</f>
        <v>3.9025631544888166</v>
      </c>
      <c r="R59" s="274">
        <f>F59</f>
        <v>0.91104335791442992</v>
      </c>
      <c r="S59" s="274">
        <f>G59</f>
        <v>0.71414284285428498</v>
      </c>
    </row>
    <row r="60" spans="1:31">
      <c r="Q60" s="1"/>
      <c r="R60" s="1"/>
      <c r="S60" s="1"/>
    </row>
    <row r="61" spans="1:31" ht="15.75" thickBot="1">
      <c r="A61" s="36"/>
      <c r="B61" s="36"/>
      <c r="C61" s="36"/>
      <c r="D61" s="36"/>
      <c r="E61" s="206" t="s">
        <v>241</v>
      </c>
      <c r="F61" s="206">
        <f>AC62</f>
        <v>2.899999963119626</v>
      </c>
      <c r="G61" s="206">
        <v>0.8</v>
      </c>
      <c r="H61" s="206">
        <v>0.6</v>
      </c>
      <c r="I61" s="207"/>
      <c r="J61" s="208"/>
      <c r="K61" s="207"/>
      <c r="L61" s="207"/>
      <c r="Q61" s="214"/>
      <c r="R61" s="214"/>
      <c r="S61" s="214"/>
    </row>
    <row r="62" spans="1:31" ht="15.75" thickTop="1">
      <c r="A62" s="284" t="str">
        <f>C16</f>
        <v>21701S006</v>
      </c>
      <c r="B62" s="284"/>
      <c r="C62" s="284" t="str">
        <f>C18</f>
        <v>21701M002</v>
      </c>
      <c r="E62" s="1">
        <f>(E16-E18)*1000</f>
        <v>-21333.800000138581</v>
      </c>
      <c r="F62" s="1">
        <f>(F16-F18)*1000</f>
        <v>31529.700000304729</v>
      </c>
      <c r="G62" s="1">
        <f>(G16-G18)*1000</f>
        <v>-55905.599999707192</v>
      </c>
      <c r="I62" s="280">
        <f>I16</f>
        <v>7334</v>
      </c>
      <c r="J62" s="281"/>
      <c r="K62" s="280">
        <f>I18</f>
        <v>7335</v>
      </c>
      <c r="L62" s="280" t="s">
        <v>197</v>
      </c>
      <c r="Q62" s="275">
        <f>(Q16-Q18)*1000</f>
        <v>-21331.057155153449</v>
      </c>
      <c r="R62" s="275">
        <f>(R16-R18)*1000</f>
        <v>31527.91856843793</v>
      </c>
      <c r="S62" s="275">
        <f>(S16-S18)*1000</f>
        <v>-55907.772205588983</v>
      </c>
      <c r="U62" s="1">
        <f>E62-Q62</f>
        <v>-2.7428449851322512</v>
      </c>
      <c r="V62" s="1">
        <f>F62-R62</f>
        <v>1.7814318667988118</v>
      </c>
      <c r="W62" s="1">
        <f>G62-S62</f>
        <v>2.1722058817904326</v>
      </c>
      <c r="Y62" s="1">
        <f>E62-E78</f>
        <v>-0.40000025182962418</v>
      </c>
      <c r="Z62" s="1">
        <f>F62-F78</f>
        <v>-0.89999986812472343</v>
      </c>
      <c r="AA62" s="1">
        <f>G62-G78</f>
        <v>-2.2999998182058334</v>
      </c>
      <c r="AC62" s="1">
        <f>_xlfn.STDEV.P(Y62:Y64)</f>
        <v>2.899999963119626</v>
      </c>
      <c r="AD62" s="1">
        <f>_xlfn.STDEV.P(Z62:Z64)</f>
        <v>0.25000004097819351</v>
      </c>
      <c r="AE62" s="1">
        <f>_xlfn.STDEV.P(AA62:AA64)</f>
        <v>0.45000016689300537</v>
      </c>
    </row>
    <row r="63" spans="1:31">
      <c r="A63" s="285"/>
      <c r="B63" s="285"/>
      <c r="C63" s="285"/>
      <c r="D63" s="53"/>
      <c r="E63" s="214">
        <f>SQRT(E17^2+E19^2+F61^2)</f>
        <v>2.963106441910893</v>
      </c>
      <c r="F63" s="214">
        <f>SQRT(F17^2+F19^2+G61^2)</f>
        <v>1.2845232578665129</v>
      </c>
      <c r="G63" s="214">
        <f>SQRT(G17^2+G19^2+H61^2)</f>
        <v>0.67823299831252681</v>
      </c>
      <c r="H63" s="53"/>
      <c r="I63" s="282"/>
      <c r="J63" s="283"/>
      <c r="K63" s="282"/>
      <c r="L63" s="282"/>
      <c r="Q63" s="274">
        <f>E63</f>
        <v>2.963106441910893</v>
      </c>
      <c r="R63" s="274">
        <f>F63</f>
        <v>1.2845232578665129</v>
      </c>
      <c r="S63" s="274">
        <f>G63</f>
        <v>0.67823299831252681</v>
      </c>
    </row>
    <row r="64" spans="1:31">
      <c r="A64" s="284" t="str">
        <f>C20</f>
        <v>KASL</v>
      </c>
      <c r="B64" s="284"/>
      <c r="C64" s="284" t="str">
        <f>C18</f>
        <v>21701M002</v>
      </c>
      <c r="E64" s="1">
        <f>(E20-E18)*1000</f>
        <v>803.19999996572733</v>
      </c>
      <c r="F64" s="1">
        <f>(F20-F18)*1000</f>
        <v>-2635.9999999403954</v>
      </c>
      <c r="G64" s="1">
        <f>(G20-G18)*1000</f>
        <v>10715.499999932945</v>
      </c>
      <c r="I64" s="280" t="str">
        <f>I20</f>
        <v>KASL</v>
      </c>
      <c r="J64" s="281"/>
      <c r="K64" s="280">
        <f>I18</f>
        <v>7335</v>
      </c>
      <c r="L64" s="280" t="s">
        <v>197</v>
      </c>
      <c r="N64" t="s">
        <v>196</v>
      </c>
      <c r="Q64" s="275">
        <f>(Q20-Q18)*1000</f>
        <v>798.43962901041118</v>
      </c>
      <c r="R64" s="275">
        <f>(R20-R18)*1000</f>
        <v>-2635.5912353207136</v>
      </c>
      <c r="S64" s="275">
        <f>(S20-S18)*1000</f>
        <v>10718.092204640765</v>
      </c>
      <c r="U64" s="1">
        <f>E64-Q64</f>
        <v>4.760370955316148</v>
      </c>
      <c r="V64" s="1">
        <f>F64-R64</f>
        <v>-0.40876461968173317</v>
      </c>
      <c r="W64" s="1">
        <f>G64-S64</f>
        <v>-2.5922047078202013</v>
      </c>
      <c r="Y64" s="1">
        <f>E64-E86</f>
        <v>5.3999996744096279</v>
      </c>
      <c r="Z64" s="1">
        <f>F64-F86</f>
        <v>-1.39999995008111</v>
      </c>
      <c r="AA64" s="1">
        <f>G64-G86</f>
        <v>-3.2000001519918442</v>
      </c>
    </row>
    <row r="65" spans="1:31">
      <c r="A65" s="285"/>
      <c r="B65" s="285"/>
      <c r="C65" s="285"/>
      <c r="D65" s="53"/>
      <c r="E65" s="214">
        <f>SQRT(E19^2+E21^2+F61^2)</f>
        <v>2.903446191354996</v>
      </c>
      <c r="F65" s="214">
        <f>SQRT(F19^2+F21^2+G61^2)</f>
        <v>0.81240384046359615</v>
      </c>
      <c r="G65" s="214">
        <f>SQRT(G19^2+G21^2+H61^2)</f>
        <v>0.61644140029689765</v>
      </c>
      <c r="H65" s="53"/>
      <c r="I65" s="282"/>
      <c r="J65" s="283"/>
      <c r="K65" s="282"/>
      <c r="L65" s="282"/>
      <c r="Q65" s="274">
        <f>E65</f>
        <v>2.903446191354996</v>
      </c>
      <c r="R65" s="274">
        <f>F65</f>
        <v>0.81240384046359615</v>
      </c>
      <c r="S65" s="274">
        <f>G65</f>
        <v>0.61644140029689765</v>
      </c>
    </row>
    <row r="66" spans="1:31">
      <c r="Q66" s="1"/>
      <c r="R66" s="1"/>
      <c r="S66" s="1"/>
    </row>
    <row r="67" spans="1:31" ht="15.75" thickBot="1">
      <c r="A67" s="36"/>
      <c r="B67" s="36"/>
      <c r="C67" s="36"/>
      <c r="D67" s="36"/>
      <c r="E67" s="206" t="s">
        <v>241</v>
      </c>
      <c r="F67" s="206">
        <f>AC68</f>
        <v>1.8688231116006404</v>
      </c>
      <c r="G67" s="206">
        <f>AD68</f>
        <v>0.7549833174812135</v>
      </c>
      <c r="H67" s="206">
        <f>AE68</f>
        <v>0.72801099952041815</v>
      </c>
      <c r="I67" s="207"/>
      <c r="J67" s="208"/>
      <c r="K67" s="207"/>
      <c r="L67" s="207"/>
      <c r="Q67" s="214"/>
      <c r="R67" s="214"/>
      <c r="S67" s="214"/>
    </row>
    <row r="68" spans="1:31" ht="15.75" thickTop="1">
      <c r="A68" s="284" t="str">
        <f>C24</f>
        <v>21701S006</v>
      </c>
      <c r="B68" s="284"/>
      <c r="C68" s="284" t="str">
        <f>C26</f>
        <v>21701M002</v>
      </c>
      <c r="E68" s="1">
        <f>(E24-E26)*1000</f>
        <v>-21334.400000050664</v>
      </c>
      <c r="F68" s="1">
        <f>(F24-F26)*1000</f>
        <v>31531.500000040978</v>
      </c>
      <c r="G68" s="1">
        <f>(G24-G26)*1000</f>
        <v>-55903.899999801069</v>
      </c>
      <c r="I68" s="280">
        <f>I24</f>
        <v>7334</v>
      </c>
      <c r="J68" s="281"/>
      <c r="K68" s="280">
        <f>I26</f>
        <v>7335</v>
      </c>
      <c r="L68" s="280" t="s">
        <v>198</v>
      </c>
      <c r="Q68" s="274">
        <f>(Q24-Q26)*1000</f>
        <v>-21331.437777959429</v>
      </c>
      <c r="R68" s="274">
        <f>(R24-R26)*1000</f>
        <v>31529.743076730989</v>
      </c>
      <c r="S68" s="274">
        <f>(S24-S26)*1000</f>
        <v>-55905.855125540475</v>
      </c>
      <c r="U68" s="1">
        <f>E68-Q68</f>
        <v>-2.9622220912351622</v>
      </c>
      <c r="V68" s="1">
        <f>F68-R68</f>
        <v>1.7569233099893609</v>
      </c>
      <c r="W68" s="1">
        <f>G68-S68</f>
        <v>1.9551257394050481</v>
      </c>
      <c r="Y68" s="1">
        <f>E68-E78</f>
        <v>-1.0000001639127731</v>
      </c>
      <c r="Z68" s="1">
        <f>F68-F78</f>
        <v>0.89999986812472343</v>
      </c>
      <c r="AA68" s="1">
        <f>G68-G78</f>
        <v>-0.59999991208314896</v>
      </c>
      <c r="AC68" s="1">
        <f>_xlfn.STDEV.P(Y68:Y74)</f>
        <v>1.8688231116006404</v>
      </c>
      <c r="AD68" s="1">
        <f>_xlfn.STDEV.P(Z68:Z74)</f>
        <v>0.7549833174812135</v>
      </c>
      <c r="AE68" s="1">
        <f>_xlfn.STDEV.P(AA68:AA74)</f>
        <v>0.72801099952041815</v>
      </c>
    </row>
    <row r="69" spans="1:31">
      <c r="A69" s="285"/>
      <c r="B69" s="285"/>
      <c r="C69" s="285"/>
      <c r="D69" s="53"/>
      <c r="E69" s="214">
        <f>SQRT(E25^2+E27^2+F67^2)</f>
        <v>1.965324355533381</v>
      </c>
      <c r="F69" s="214">
        <f>SQRT(F25^2+F27^2+G67^2)</f>
        <v>1.2569804332904069</v>
      </c>
      <c r="G69" s="214">
        <f>SQRT(G25^2+G27^2+H67^2)</f>
        <v>0.79372540303477634</v>
      </c>
      <c r="H69" s="53"/>
      <c r="I69" s="282"/>
      <c r="J69" s="283"/>
      <c r="K69" s="282"/>
      <c r="L69" s="282"/>
      <c r="Q69" s="274">
        <f>E69</f>
        <v>1.965324355533381</v>
      </c>
      <c r="R69" s="274">
        <f>F69</f>
        <v>1.2569804332904069</v>
      </c>
      <c r="S69" s="274">
        <f>G69</f>
        <v>0.79372540303477634</v>
      </c>
    </row>
    <row r="70" spans="1:31">
      <c r="A70" s="284" t="str">
        <f>C28</f>
        <v>21701S004</v>
      </c>
      <c r="B70" s="284"/>
      <c r="C70" s="284" t="str">
        <f>C26</f>
        <v>21701M002</v>
      </c>
      <c r="E70" s="1">
        <f>(E28-E26)*1000</f>
        <v>-164924.60000002757</v>
      </c>
      <c r="F70" s="1">
        <f>(F28-F26)*1000</f>
        <v>-156082.59999984875</v>
      </c>
      <c r="G70" s="1">
        <f>(G28-G26)*1000</f>
        <v>-17763.799999840558</v>
      </c>
      <c r="I70" s="280">
        <f>I28</f>
        <v>1857</v>
      </c>
      <c r="J70" s="281"/>
      <c r="K70" s="280">
        <f>I26</f>
        <v>7335</v>
      </c>
      <c r="L70" s="280" t="s">
        <v>198</v>
      </c>
      <c r="Q70" s="274">
        <f>(Q28-Q26)*1000</f>
        <v>-164907.82410692438</v>
      </c>
      <c r="R70" s="274">
        <f>(R28-R26)*1000</f>
        <v>-156098.16117855816</v>
      </c>
      <c r="S70" s="274">
        <f>(S28-S26)*1000</f>
        <v>-17781.514281133332</v>
      </c>
      <c r="U70" s="1">
        <f>E70-Q70</f>
        <v>-16.775893103185808</v>
      </c>
      <c r="V70" s="1">
        <f>F70-R70</f>
        <v>15.561178709409432</v>
      </c>
      <c r="W70" s="1">
        <f>G70-S70</f>
        <v>17.714281292774103</v>
      </c>
      <c r="Y70" s="1">
        <f>E70-E80</f>
        <v>1.999999862164259</v>
      </c>
      <c r="Z70" s="1">
        <f>F70-F80</f>
        <v>-9.999983012676239E-2</v>
      </c>
      <c r="AA70" s="1">
        <f>G70-G80</f>
        <v>0.80000003799796104</v>
      </c>
    </row>
    <row r="71" spans="1:31">
      <c r="A71" s="285"/>
      <c r="B71" s="285"/>
      <c r="C71" s="285"/>
      <c r="D71" s="53"/>
      <c r="E71" s="214">
        <f>SQRT(E27^2+E29^2+F67^2)</f>
        <v>1.8821529753058595</v>
      </c>
      <c r="F71" s="214">
        <f>SQRT(F27^2+F29^2+G67^2)</f>
        <v>0.81853516092770184</v>
      </c>
      <c r="G71" s="214">
        <f>SQRT(G27^2+G29^2+H67^2)</f>
        <v>0.79372540303477634</v>
      </c>
      <c r="H71" s="53"/>
      <c r="I71" s="282"/>
      <c r="J71" s="283"/>
      <c r="K71" s="282"/>
      <c r="L71" s="282"/>
      <c r="Q71" s="274">
        <f>E71</f>
        <v>1.8821529753058595</v>
      </c>
      <c r="R71" s="274">
        <f>F71</f>
        <v>0.81853516092770184</v>
      </c>
      <c r="S71" s="274">
        <f>G71</f>
        <v>0.79372540303477634</v>
      </c>
    </row>
    <row r="72" spans="1:31">
      <c r="A72" s="286" t="str">
        <f>C30</f>
        <v>21701S007</v>
      </c>
      <c r="B72" s="286"/>
      <c r="C72" s="286" t="str">
        <f>C26</f>
        <v>21701M002</v>
      </c>
      <c r="D72" s="81"/>
      <c r="E72" s="215">
        <f>(E30-E26)*1000</f>
        <v>-41046.800000127405</v>
      </c>
      <c r="F72" s="215">
        <f>(F30-F26)*1000</f>
        <v>24043.00000006333</v>
      </c>
      <c r="G72" s="215">
        <f>(G30-G26)*1000</f>
        <v>-78009.899999946356</v>
      </c>
      <c r="H72" s="81"/>
      <c r="I72" s="287" t="str">
        <f>I30</f>
        <v>KSMV</v>
      </c>
      <c r="J72" s="288"/>
      <c r="K72" s="287">
        <f>I26</f>
        <v>7335</v>
      </c>
      <c r="L72" s="287" t="s">
        <v>198</v>
      </c>
      <c r="Q72" s="274">
        <f>(Q30-Q26)*1000</f>
        <v>-41040.858741111588</v>
      </c>
      <c r="R72" s="274">
        <f>(R30-R26)*1000</f>
        <v>24039.490812634733</v>
      </c>
      <c r="S72" s="274">
        <f>(S30-S26)*1000</f>
        <v>-78013.969894482303</v>
      </c>
      <c r="U72" s="1">
        <f>E72-Q72</f>
        <v>-5.9412590158171952</v>
      </c>
      <c r="V72" s="1">
        <f>F72-R72</f>
        <v>3.5091874285972153</v>
      </c>
      <c r="W72" s="1">
        <f>G72-S72</f>
        <v>4.0698945359472418</v>
      </c>
      <c r="Y72" s="1">
        <f>E72-E84</f>
        <v>-2.9000001959502697</v>
      </c>
      <c r="Z72" s="1">
        <f>F72-F84</f>
        <v>0.89999986812472343</v>
      </c>
      <c r="AA72" s="1">
        <f>G72-G84</f>
        <v>0.39999978616833687</v>
      </c>
    </row>
    <row r="73" spans="1:31">
      <c r="A73" s="285"/>
      <c r="B73" s="285"/>
      <c r="C73" s="285"/>
      <c r="D73" s="53"/>
      <c r="E73" s="214">
        <f>SQRT(E27^2+E31^2+F67^2)</f>
        <v>2.0766559229811516</v>
      </c>
      <c r="F73" s="214">
        <f>SQRT(F27^2+F31^2+G67^2)</f>
        <v>1.6822603275578185</v>
      </c>
      <c r="G73" s="214">
        <f>SQRT(G27^2+G31^2+H67^2)</f>
        <v>0.83666003575091252</v>
      </c>
      <c r="H73" s="53"/>
      <c r="I73" s="282"/>
      <c r="J73" s="283"/>
      <c r="K73" s="282"/>
      <c r="L73" s="282"/>
      <c r="Q73" s="274">
        <f>E73</f>
        <v>2.0766559229811516</v>
      </c>
      <c r="R73" s="274">
        <f>F73</f>
        <v>1.6822603275578185</v>
      </c>
      <c r="S73" s="274">
        <f>G73</f>
        <v>0.83666003575091252</v>
      </c>
    </row>
    <row r="74" spans="1:31">
      <c r="A74" s="284" t="str">
        <f>C32</f>
        <v>KASL</v>
      </c>
      <c r="B74" s="284"/>
      <c r="C74" s="284" t="str">
        <f>C26</f>
        <v>21701M002</v>
      </c>
      <c r="E74" s="1">
        <f>(E32-E26)*1000</f>
        <v>798.69999969378114</v>
      </c>
      <c r="F74" s="1">
        <f>(F32-F26)*1000</f>
        <v>-2635.499999858439</v>
      </c>
      <c r="G74" s="1">
        <f>(G32-G26)*1000</f>
        <v>10717.699999921024</v>
      </c>
      <c r="I74" s="280" t="str">
        <f>I32</f>
        <v>KASL</v>
      </c>
      <c r="J74" s="281"/>
      <c r="K74" s="280">
        <f>I26</f>
        <v>7335</v>
      </c>
      <c r="L74" s="287" t="s">
        <v>198</v>
      </c>
      <c r="N74" t="s">
        <v>196</v>
      </c>
      <c r="Q74" s="274">
        <f>(Q32-Q26)*1000</f>
        <v>797.8797479816086</v>
      </c>
      <c r="R74" s="274">
        <f>(R32-R26)*1000</f>
        <v>-2635.3004439351757</v>
      </c>
      <c r="S74" s="274">
        <f>(S32-S26)*1000</f>
        <v>10717.922282276289</v>
      </c>
      <c r="U74" s="1">
        <f>E74-Q74</f>
        <v>0.82025171217253501</v>
      </c>
      <c r="V74" s="1">
        <f>F74-R74</f>
        <v>-0.19955592326323313</v>
      </c>
      <c r="W74" s="1">
        <f>G74-S74</f>
        <v>-0.22228235526563367</v>
      </c>
      <c r="Y74" s="1">
        <f>E74-E86</f>
        <v>0.89999940246343613</v>
      </c>
      <c r="Z74" s="1">
        <f>F74-F86</f>
        <v>-0.89999986812472343</v>
      </c>
      <c r="AA74" s="1">
        <f>G74-G86</f>
        <v>-1.0000001639127731</v>
      </c>
    </row>
    <row r="75" spans="1:31">
      <c r="A75" s="285"/>
      <c r="B75" s="285"/>
      <c r="C75" s="285"/>
      <c r="D75" s="53"/>
      <c r="E75" s="214">
        <f>SQRT(E27^2+E33^2+F67^2)</f>
        <v>1.8741664340321271</v>
      </c>
      <c r="F75" s="214">
        <f>SQRT(F27^2+F33^2+G67^2)</f>
        <v>0.76811445089578856</v>
      </c>
      <c r="G75" s="214">
        <f>SQRT(G27^2+G33^2+H67^2)</f>
        <v>0.74161985910756079</v>
      </c>
      <c r="H75" s="53"/>
      <c r="I75" s="282"/>
      <c r="J75" s="283"/>
      <c r="K75" s="282"/>
      <c r="L75" s="282"/>
      <c r="Q75" s="274">
        <f>E75</f>
        <v>1.8741664340321271</v>
      </c>
      <c r="R75" s="274">
        <f>F75</f>
        <v>0.76811445089578856</v>
      </c>
      <c r="S75" s="274">
        <f>G75</f>
        <v>0.74161985910756079</v>
      </c>
    </row>
    <row r="76" spans="1:31">
      <c r="Q76" s="1"/>
      <c r="R76" s="1"/>
      <c r="S76" s="1"/>
    </row>
    <row r="77" spans="1:31" ht="15.75" thickBot="1">
      <c r="A77" s="36"/>
      <c r="B77" s="36"/>
      <c r="C77" s="36"/>
      <c r="D77" s="36"/>
      <c r="E77" s="206" t="s">
        <v>241</v>
      </c>
      <c r="F77" s="206">
        <f>AC68</f>
        <v>1.8688231116006404</v>
      </c>
      <c r="G77" s="206">
        <f>AD68</f>
        <v>0.7549833174812135</v>
      </c>
      <c r="H77" s="206">
        <f>AE68</f>
        <v>0.72801099952041815</v>
      </c>
      <c r="I77" s="207"/>
      <c r="J77" s="208"/>
      <c r="K77" s="207"/>
      <c r="L77" s="207"/>
      <c r="Q77" s="214"/>
      <c r="R77" s="214"/>
      <c r="S77" s="214"/>
    </row>
    <row r="78" spans="1:31" ht="15.75" thickTop="1">
      <c r="A78" s="284" t="str">
        <f>C36</f>
        <v>21701S006</v>
      </c>
      <c r="B78" s="284"/>
      <c r="C78" s="284" t="str">
        <f>C38</f>
        <v>21701M002</v>
      </c>
      <c r="E78" s="1">
        <f>(E36-E38)*1000</f>
        <v>-21333.399999886751</v>
      </c>
      <c r="F78" s="1">
        <f t="shared" ref="F78:G78" si="2">(F36-F38)*1000</f>
        <v>31530.600000172853</v>
      </c>
      <c r="G78" s="1">
        <f t="shared" si="2"/>
        <v>-55903.299999888986</v>
      </c>
      <c r="I78" s="280">
        <f>I36</f>
        <v>7334</v>
      </c>
      <c r="J78" s="281"/>
      <c r="K78" s="280">
        <f>I38</f>
        <v>7335</v>
      </c>
      <c r="L78" s="280" t="s">
        <v>199</v>
      </c>
      <c r="Q78" s="274">
        <f>(Q36-Q38)*1000</f>
        <v>-21330.481790383881</v>
      </c>
      <c r="R78" s="274">
        <f>(R36-R38)*1000</f>
        <v>31528.869041333983</v>
      </c>
      <c r="S78" s="274">
        <f>(S36-S38)*1000</f>
        <v>-55905.434352562021</v>
      </c>
      <c r="U78" s="1">
        <f>E78-Q78</f>
        <v>-2.9182095028700132</v>
      </c>
      <c r="V78" s="1">
        <f>F78-R78</f>
        <v>1.7309588388707198</v>
      </c>
      <c r="W78" s="1">
        <f>G78-S78</f>
        <v>2.1343526730343001</v>
      </c>
    </row>
    <row r="79" spans="1:31">
      <c r="A79" s="285"/>
      <c r="B79" s="285"/>
      <c r="C79" s="285"/>
      <c r="D79" s="53"/>
      <c r="E79" s="214">
        <f>SQRT(E37^2+E39^2+F77^2)</f>
        <v>1.965324355533381</v>
      </c>
      <c r="F79" s="214">
        <f>SQRT(F37^2+F39^2+G77^2)</f>
        <v>1.2569804332904069</v>
      </c>
      <c r="G79" s="214">
        <f>SQRT(G37^2+G39^2+H77^2)</f>
        <v>0.79372540303477634</v>
      </c>
      <c r="H79" s="53"/>
      <c r="I79" s="282"/>
      <c r="J79" s="283"/>
      <c r="K79" s="282"/>
      <c r="L79" s="282"/>
      <c r="Q79" s="274">
        <f>E79</f>
        <v>1.965324355533381</v>
      </c>
      <c r="R79" s="274">
        <f>F79</f>
        <v>1.2569804332904069</v>
      </c>
      <c r="S79" s="274">
        <f>G79</f>
        <v>0.79372540303477634</v>
      </c>
    </row>
    <row r="80" spans="1:31">
      <c r="A80" s="284" t="str">
        <f>C40</f>
        <v>21701S004</v>
      </c>
      <c r="B80" s="284"/>
      <c r="C80" s="284" t="str">
        <f>C38</f>
        <v>21701M002</v>
      </c>
      <c r="E80" s="1">
        <f>(E40-E38)*1000</f>
        <v>-164926.59999988973</v>
      </c>
      <c r="F80" s="1">
        <f t="shared" ref="F80:G80" si="3">(F40-F38)*1000</f>
        <v>-156082.50000001863</v>
      </c>
      <c r="G80" s="1">
        <f t="shared" si="3"/>
        <v>-17764.599999878556</v>
      </c>
      <c r="I80" s="280">
        <f>I40</f>
        <v>1857</v>
      </c>
      <c r="J80" s="281"/>
      <c r="K80" s="280">
        <f>I38</f>
        <v>7335</v>
      </c>
      <c r="L80" s="280" t="s">
        <v>199</v>
      </c>
      <c r="Q80" s="274">
        <f>(Q40-Q38)*1000</f>
        <v>-164909.90192113293</v>
      </c>
      <c r="R80" s="274">
        <f>(R40-R38)*1000</f>
        <v>-156098.10022632321</v>
      </c>
      <c r="S80" s="274">
        <f>(S40-S38)*1000</f>
        <v>-17782.420853267275</v>
      </c>
      <c r="U80" s="1">
        <f>E80-Q80</f>
        <v>-16.698078756802715</v>
      </c>
      <c r="V80" s="1">
        <f>F80-R80</f>
        <v>15.600226304581156</v>
      </c>
      <c r="W80" s="1">
        <f>G80-S80</f>
        <v>17.820853388719115</v>
      </c>
    </row>
    <row r="81" spans="1:23">
      <c r="A81" s="285"/>
      <c r="B81" s="285"/>
      <c r="C81" s="285"/>
      <c r="D81" s="53"/>
      <c r="E81" s="214">
        <f>SQRT(E39^2+E41^2+F77^2)</f>
        <v>1.8821529753058595</v>
      </c>
      <c r="F81" s="214">
        <f>SQRT(F39^2+F41^2+G77^2)</f>
        <v>0.81853516092770184</v>
      </c>
      <c r="G81" s="214">
        <f>SQRT(G39^2+G41^2+H77^2)</f>
        <v>0.79372540303477634</v>
      </c>
      <c r="H81" s="53"/>
      <c r="I81" s="282"/>
      <c r="J81" s="283"/>
      <c r="K81" s="282"/>
      <c r="L81" s="282"/>
      <c r="Q81" s="274">
        <f>E81</f>
        <v>1.8821529753058595</v>
      </c>
      <c r="R81" s="274">
        <f>F81</f>
        <v>0.81853516092770184</v>
      </c>
      <c r="S81" s="274">
        <f>G81</f>
        <v>0.79372540303477634</v>
      </c>
    </row>
    <row r="82" spans="1:23">
      <c r="A82" s="289" t="str">
        <f>C42</f>
        <v>21701S001</v>
      </c>
      <c r="B82" s="289"/>
      <c r="C82" s="284" t="str">
        <f>C38</f>
        <v>21701M002</v>
      </c>
      <c r="D82" s="7"/>
      <c r="E82" s="8">
        <f>(E42-E38)*1000</f>
        <v>-407972.59999997914</v>
      </c>
      <c r="F82" s="8">
        <f>(F42-F38)*1000</f>
        <v>-265553.9000001736</v>
      </c>
      <c r="G82" s="8">
        <f>(G42-G38)*1000</f>
        <v>-178346.99999960139</v>
      </c>
      <c r="H82" s="7"/>
      <c r="I82" s="290">
        <f>I42</f>
        <v>1856</v>
      </c>
      <c r="J82" s="291"/>
      <c r="K82" s="290">
        <f>I38</f>
        <v>7335</v>
      </c>
      <c r="L82" s="280" t="s">
        <v>199</v>
      </c>
      <c r="Q82" s="274">
        <f>(Q42-Q38)*1000</f>
        <v>-407928.58434841689</v>
      </c>
      <c r="R82" s="274">
        <f>(R42-R38)*1000</f>
        <v>-265592.21165151644</v>
      </c>
      <c r="S82" s="274">
        <f>(S42-S38)*1000</f>
        <v>-178390.73720899326</v>
      </c>
      <c r="U82" s="1">
        <f>E82-Q82</f>
        <v>-44.015651562251151</v>
      </c>
      <c r="V82" s="1">
        <f>F82-R82</f>
        <v>38.311651342839468</v>
      </c>
      <c r="W82" s="1">
        <f>G82-S82</f>
        <v>43.737209391867509</v>
      </c>
    </row>
    <row r="83" spans="1:23">
      <c r="A83" s="289"/>
      <c r="B83" s="289"/>
      <c r="C83" s="289"/>
      <c r="D83" s="7"/>
      <c r="E83" s="8">
        <f>SQRT(E43^2+E39^2+F77^2)</f>
        <v>1.8953890952658505</v>
      </c>
      <c r="F83" s="8">
        <f>SQRT(F43^2+F39^2+G77^2)</f>
        <v>0.81853516092770184</v>
      </c>
      <c r="G83" s="8">
        <f>SQRT(G43^2+G39^2+H77^2)</f>
        <v>0.83666003575091252</v>
      </c>
      <c r="H83" s="7"/>
      <c r="I83" s="290"/>
      <c r="J83" s="291"/>
      <c r="K83" s="290"/>
      <c r="L83" s="290"/>
      <c r="Q83" s="274">
        <f>E83</f>
        <v>1.8953890952658505</v>
      </c>
      <c r="R83" s="274">
        <f>F83</f>
        <v>0.81853516092770184</v>
      </c>
      <c r="S83" s="274">
        <f>G83</f>
        <v>0.83666003575091252</v>
      </c>
    </row>
    <row r="84" spans="1:23">
      <c r="A84" s="284" t="str">
        <f>C44</f>
        <v>21701S007</v>
      </c>
      <c r="B84" s="284"/>
      <c r="C84" s="284" t="str">
        <f>C38</f>
        <v>21701M002</v>
      </c>
      <c r="E84" s="1">
        <f>(E44-E38)*1000</f>
        <v>-41043.899999931455</v>
      </c>
      <c r="F84" s="1">
        <f t="shared" ref="F84:G84" si="4">(F44-F38)*1000</f>
        <v>24042.100000195205</v>
      </c>
      <c r="G84" s="1">
        <f t="shared" si="4"/>
        <v>-78010.299999732524</v>
      </c>
      <c r="I84" s="280" t="str">
        <f>I44</f>
        <v>KSMV</v>
      </c>
      <c r="J84" s="281"/>
      <c r="K84" s="280">
        <f>I38</f>
        <v>7335</v>
      </c>
      <c r="L84" s="280" t="s">
        <v>199</v>
      </c>
      <c r="Q84" s="274">
        <f>(Q44-Q38)*1000</f>
        <v>-41038.033051938684</v>
      </c>
      <c r="R84" s="274">
        <f>(R44-R38)*1000</f>
        <v>24038.506755629696</v>
      </c>
      <c r="S84" s="274">
        <f>(S44-S38)*1000</f>
        <v>-78014.524883394392</v>
      </c>
      <c r="U84" s="1">
        <f>E84-Q84</f>
        <v>-5.8669479927702923</v>
      </c>
      <c r="V84" s="1">
        <f>F84-R84</f>
        <v>3.5932445655089396</v>
      </c>
      <c r="W84" s="1">
        <f>G84-S84</f>
        <v>4.2248836618673522</v>
      </c>
    </row>
    <row r="85" spans="1:23">
      <c r="A85" s="285"/>
      <c r="B85" s="285"/>
      <c r="C85" s="285"/>
      <c r="D85" s="53"/>
      <c r="E85" s="214">
        <f>SQRT(E39^2+E45^2)</f>
        <v>0.90553851381374173</v>
      </c>
      <c r="F85" s="214">
        <f t="shared" ref="F85:G85" si="5">SQRT(F39^2+F45^2)</f>
        <v>1.5033296378372907</v>
      </c>
      <c r="G85" s="214">
        <f t="shared" si="5"/>
        <v>0.41231056256176613</v>
      </c>
      <c r="H85" s="53"/>
      <c r="I85" s="282"/>
      <c r="J85" s="283"/>
      <c r="K85" s="282"/>
      <c r="L85" s="282"/>
      <c r="Q85" s="274">
        <f>E85</f>
        <v>0.90553851381374173</v>
      </c>
      <c r="R85" s="274">
        <f>F85</f>
        <v>1.5033296378372907</v>
      </c>
      <c r="S85" s="274">
        <f>G85</f>
        <v>0.41231056256176613</v>
      </c>
    </row>
    <row r="86" spans="1:23">
      <c r="A86" s="284" t="str">
        <f>C46</f>
        <v>KASL</v>
      </c>
      <c r="B86" s="284"/>
      <c r="C86" s="284" t="str">
        <f>C38</f>
        <v>21701M002</v>
      </c>
      <c r="E86" s="1">
        <f>(E46-E38)*1000</f>
        <v>797.8000002913177</v>
      </c>
      <c r="F86" s="1">
        <f t="shared" ref="F86:G86" si="6">(F46-F38)*1000</f>
        <v>-2634.5999999903142</v>
      </c>
      <c r="G86" s="1">
        <f t="shared" si="6"/>
        <v>10718.700000084937</v>
      </c>
      <c r="I86" s="280" t="str">
        <f>I46</f>
        <v>KASL</v>
      </c>
      <c r="J86" s="281"/>
      <c r="K86" s="280">
        <f>I38</f>
        <v>7335</v>
      </c>
      <c r="L86" s="280" t="s">
        <v>199</v>
      </c>
      <c r="N86" t="s">
        <v>196</v>
      </c>
      <c r="Q86" s="274">
        <f>(Q46-Q38)*1000</f>
        <v>796.02194762298689</v>
      </c>
      <c r="R86" s="274">
        <f>(R46-R38)*1000</f>
        <v>-2634.5149140246244</v>
      </c>
      <c r="S86" s="274">
        <f>(S46-S38)*1000</f>
        <v>10718.831359108037</v>
      </c>
      <c r="U86" s="1">
        <f>E86-Q86</f>
        <v>1.7780526683308153</v>
      </c>
      <c r="V86" s="1">
        <f>F86-R86</f>
        <v>-8.5085965689813747E-2</v>
      </c>
      <c r="W86" s="1">
        <f>G86-S86</f>
        <v>-0.13135902310023084</v>
      </c>
    </row>
    <row r="87" spans="1:23">
      <c r="A87" s="285"/>
      <c r="B87" s="285"/>
      <c r="C87" s="285"/>
      <c r="D87" s="53"/>
      <c r="E87" s="214">
        <f>SQRT(E39^2+E47^2+F77^2)</f>
        <v>1.8741664340321271</v>
      </c>
      <c r="F87" s="214">
        <f>SQRT(F39^2+F47^2+G77^2)</f>
        <v>0.76811445089578856</v>
      </c>
      <c r="G87" s="214">
        <f>SQRT(G39^2+G47^2+H77^2)</f>
        <v>0.74161985910756079</v>
      </c>
      <c r="H87" s="53"/>
      <c r="I87" s="282"/>
      <c r="J87" s="283"/>
      <c r="K87" s="282"/>
      <c r="L87" s="282"/>
      <c r="Q87" s="274">
        <f>E87</f>
        <v>1.8741664340321271</v>
      </c>
      <c r="R87" s="274">
        <f>F87</f>
        <v>0.76811445089578856</v>
      </c>
      <c r="S87" s="274">
        <f>G87</f>
        <v>0.74161985910756079</v>
      </c>
    </row>
  </sheetData>
  <pageMargins left="0.7" right="0.7" top="0.75" bottom="0.75" header="0.3" footer="0.3"/>
  <pageSetup paperSize="9" orientation="portrait" horizontalDpi="4294967294"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20746-3BA9-479C-B07F-83DCD97153BA}">
  <dimension ref="A1:AH101"/>
  <sheetViews>
    <sheetView tabSelected="1" topLeftCell="A53" zoomScale="90" zoomScaleNormal="90" workbookViewId="0">
      <selection activeCell="E66" sqref="E66"/>
    </sheetView>
  </sheetViews>
  <sheetFormatPr defaultRowHeight="15"/>
  <cols>
    <col min="1" max="1" width="12" customWidth="1"/>
    <col min="2" max="2" width="4.28515625" customWidth="1"/>
    <col min="3" max="3" width="10.85546875" customWidth="1"/>
    <col min="4" max="4" width="8.5703125" customWidth="1"/>
    <col min="5" max="7" width="14.28515625" customWidth="1"/>
    <col min="9" max="9" width="9.140625" style="196"/>
  </cols>
  <sheetData>
    <row r="1" spans="1:34" ht="15.75" thickBot="1">
      <c r="C1" t="s">
        <v>178</v>
      </c>
      <c r="D1" t="s">
        <v>177</v>
      </c>
      <c r="E1" s="1"/>
      <c r="F1" s="1"/>
      <c r="G1" s="1"/>
      <c r="I1" s="200"/>
      <c r="J1" s="9"/>
      <c r="K1" s="200"/>
      <c r="L1" s="200"/>
      <c r="P1" s="249" t="s">
        <v>215</v>
      </c>
      <c r="W1" t="s">
        <v>216</v>
      </c>
      <c r="Y1" s="54" t="s">
        <v>217</v>
      </c>
      <c r="Z1" s="54" t="s">
        <v>218</v>
      </c>
      <c r="AA1" s="54"/>
      <c r="AF1" t="s">
        <v>223</v>
      </c>
    </row>
    <row r="2" spans="1:34">
      <c r="E2" s="1"/>
      <c r="F2" s="1"/>
      <c r="G2" s="1"/>
      <c r="I2" s="200"/>
      <c r="J2" s="9"/>
      <c r="K2" s="200"/>
      <c r="L2" s="200"/>
      <c r="P2" s="249"/>
      <c r="X2" s="2" t="s">
        <v>181</v>
      </c>
      <c r="Y2" s="2">
        <v>16.399999999999999</v>
      </c>
      <c r="Z2" s="2">
        <v>-24.3</v>
      </c>
      <c r="AA2" s="2" t="s">
        <v>219</v>
      </c>
      <c r="AB2" s="2">
        <f>RADIANS(Y2/3600)</f>
        <v>7.9509443701963883E-5</v>
      </c>
      <c r="AC2" s="2">
        <f>RADIANS(Z2/3600)</f>
        <v>-1.1780972450961724E-4</v>
      </c>
      <c r="AD2" s="2" t="s">
        <v>220</v>
      </c>
      <c r="AF2" s="17">
        <v>1</v>
      </c>
      <c r="AG2" s="18">
        <v>0</v>
      </c>
      <c r="AH2" s="19">
        <f>-AF4</f>
        <v>24.3</v>
      </c>
    </row>
    <row r="3" spans="1:34">
      <c r="E3" s="1"/>
      <c r="F3" s="1"/>
      <c r="G3" s="1"/>
      <c r="I3" s="200"/>
      <c r="J3" s="9"/>
      <c r="K3" s="200"/>
      <c r="L3" s="200"/>
      <c r="P3" s="249"/>
      <c r="X3" s="2" t="s">
        <v>187</v>
      </c>
      <c r="Y3" s="2">
        <v>11.4</v>
      </c>
      <c r="Z3" s="2">
        <v>-17.399999999999999</v>
      </c>
      <c r="AA3" s="2" t="s">
        <v>219</v>
      </c>
      <c r="AB3" s="2">
        <f t="shared" ref="AB3:AC5" si="0">RADIANS(Y3/3600)</f>
        <v>5.5268759646487099E-5</v>
      </c>
      <c r="AC3" s="2">
        <f t="shared" si="0"/>
        <v>-8.4357580513059246E-5</v>
      </c>
      <c r="AD3" s="2" t="s">
        <v>220</v>
      </c>
      <c r="AF3" s="20">
        <v>0</v>
      </c>
      <c r="AG3" s="2">
        <v>1</v>
      </c>
      <c r="AH3" s="21">
        <f>-AG4</f>
        <v>-16.399999999999999</v>
      </c>
    </row>
    <row r="4" spans="1:34" ht="15.75" thickBot="1">
      <c r="E4" s="1"/>
      <c r="F4" s="1"/>
      <c r="G4" s="1"/>
      <c r="I4" s="200"/>
      <c r="J4" s="9"/>
      <c r="K4" s="200"/>
      <c r="L4" s="200"/>
      <c r="P4" s="249"/>
      <c r="X4" s="2" t="s">
        <v>221</v>
      </c>
      <c r="Y4" s="2">
        <v>-1.9</v>
      </c>
      <c r="Z4" s="2">
        <v>-9.3000000000000007</v>
      </c>
      <c r="AA4" s="2" t="s">
        <v>219</v>
      </c>
      <c r="AB4" s="2">
        <f t="shared" si="0"/>
        <v>-9.2114599410811831E-6</v>
      </c>
      <c r="AC4" s="2">
        <f t="shared" si="0"/>
        <v>-4.5087672343186846E-5</v>
      </c>
      <c r="AD4" s="2" t="s">
        <v>220</v>
      </c>
      <c r="AF4" s="22">
        <f>Z2</f>
        <v>-24.3</v>
      </c>
      <c r="AG4" s="23">
        <f>Y2</f>
        <v>16.399999999999999</v>
      </c>
      <c r="AH4" s="24">
        <v>1</v>
      </c>
    </row>
    <row r="5" spans="1:34">
      <c r="C5" t="s">
        <v>180</v>
      </c>
      <c r="D5" t="s">
        <v>187</v>
      </c>
      <c r="E5" s="1"/>
      <c r="F5" s="1"/>
      <c r="G5" s="1"/>
      <c r="I5" s="200"/>
      <c r="J5" s="9"/>
      <c r="K5" s="200"/>
      <c r="L5" s="200"/>
      <c r="Q5" t="s">
        <v>213</v>
      </c>
      <c r="U5" t="s">
        <v>187</v>
      </c>
      <c r="X5" s="2" t="s">
        <v>222</v>
      </c>
      <c r="Y5" s="2">
        <v>-4.5</v>
      </c>
      <c r="Z5" s="2">
        <v>13.6</v>
      </c>
      <c r="AA5" s="2" t="s">
        <v>219</v>
      </c>
      <c r="AB5" s="2">
        <f t="shared" si="0"/>
        <v>-2.1816615649929121E-5</v>
      </c>
      <c r="AC5" s="2">
        <f t="shared" si="0"/>
        <v>6.5934660630896893E-5</v>
      </c>
      <c r="AD5" s="2" t="s">
        <v>220</v>
      </c>
    </row>
    <row r="6" spans="1:34">
      <c r="A6" s="2"/>
      <c r="B6" s="2"/>
      <c r="C6" s="2" t="s">
        <v>179</v>
      </c>
      <c r="D6" s="2"/>
      <c r="E6" s="6"/>
      <c r="F6" s="6"/>
      <c r="G6" s="6"/>
      <c r="H6" s="2"/>
      <c r="I6" s="201" t="s">
        <v>184</v>
      </c>
      <c r="J6" s="194"/>
      <c r="K6" s="201"/>
      <c r="L6" s="201"/>
    </row>
    <row r="7" spans="1:34" ht="15.75" thickBot="1">
      <c r="A7" s="60"/>
      <c r="B7" s="60"/>
      <c r="C7" s="60"/>
      <c r="D7" s="60"/>
      <c r="E7" s="216" t="s">
        <v>22</v>
      </c>
      <c r="F7" s="217" t="s">
        <v>23</v>
      </c>
      <c r="G7" s="217" t="s">
        <v>24</v>
      </c>
      <c r="H7" s="218"/>
      <c r="I7" s="219"/>
      <c r="J7" s="113"/>
      <c r="K7" s="219" t="s">
        <v>183</v>
      </c>
      <c r="L7" s="219" t="s">
        <v>182</v>
      </c>
      <c r="O7" t="s">
        <v>214</v>
      </c>
      <c r="P7" t="s">
        <v>207</v>
      </c>
      <c r="Q7" s="216" t="s">
        <v>22</v>
      </c>
      <c r="R7" s="217" t="s">
        <v>23</v>
      </c>
      <c r="S7" s="217" t="s">
        <v>24</v>
      </c>
      <c r="U7" s="219" t="s">
        <v>183</v>
      </c>
      <c r="V7" s="219" t="s">
        <v>182</v>
      </c>
    </row>
    <row r="8" spans="1:34" ht="15.75" thickTop="1">
      <c r="A8" s="56" t="s">
        <v>62</v>
      </c>
      <c r="B8" s="56"/>
      <c r="C8" s="56" t="s">
        <v>176</v>
      </c>
      <c r="D8" s="56"/>
      <c r="E8" s="50">
        <v>-3941937.4065</v>
      </c>
      <c r="F8" s="50">
        <v>3368150.8613</v>
      </c>
      <c r="G8" s="50">
        <v>3702235.2773000002</v>
      </c>
      <c r="H8" s="56"/>
      <c r="I8" s="199">
        <v>7327</v>
      </c>
      <c r="J8" s="56"/>
      <c r="K8" s="56">
        <v>1996</v>
      </c>
      <c r="L8" s="56">
        <v>275</v>
      </c>
      <c r="N8" t="str">
        <f>A8</f>
        <v>Kog11-CP0</v>
      </c>
      <c r="O8" t="str">
        <f>C8</f>
        <v>21704S004</v>
      </c>
      <c r="P8" s="248">
        <f>I8</f>
        <v>7327</v>
      </c>
      <c r="Q8" s="250">
        <f>H11kog!BI14</f>
        <v>33.272745085856727</v>
      </c>
      <c r="R8" s="250">
        <f>H11kog!BJ14</f>
        <v>19.187327951726374</v>
      </c>
      <c r="S8" s="250">
        <f>H11kog!BK14</f>
        <v>36.610193421426615</v>
      </c>
      <c r="U8" s="248">
        <f>K8</f>
        <v>1996</v>
      </c>
      <c r="V8" s="248">
        <f>L8</f>
        <v>275</v>
      </c>
    </row>
    <row r="9" spans="1:34">
      <c r="A9" s="2"/>
      <c r="B9" s="2"/>
      <c r="C9" s="2"/>
      <c r="D9" s="2"/>
      <c r="E9" s="6">
        <v>0.4</v>
      </c>
      <c r="F9" s="6">
        <v>0.4</v>
      </c>
      <c r="G9" s="6">
        <v>0.3</v>
      </c>
      <c r="H9" s="2"/>
      <c r="I9" s="195"/>
      <c r="J9" s="2"/>
      <c r="K9" s="2"/>
      <c r="L9" s="2"/>
      <c r="N9" t="s">
        <v>185</v>
      </c>
    </row>
    <row r="10" spans="1:34">
      <c r="A10" s="14" t="s">
        <v>139</v>
      </c>
      <c r="B10" s="14"/>
      <c r="C10" s="2" t="s">
        <v>202</v>
      </c>
      <c r="D10" s="2"/>
      <c r="E10" s="124">
        <v>-3941941.2091999999</v>
      </c>
      <c r="F10" s="124">
        <v>3368169.4896999998</v>
      </c>
      <c r="G10" s="124">
        <v>3702195.6880000001</v>
      </c>
      <c r="H10" s="2"/>
      <c r="I10" s="195">
        <v>7328</v>
      </c>
      <c r="J10" s="2"/>
      <c r="K10" s="2">
        <v>1996</v>
      </c>
      <c r="L10" s="2">
        <v>275</v>
      </c>
      <c r="N10" t="str">
        <f>A10</f>
        <v>SLR-S2(RT)</v>
      </c>
      <c r="O10" t="str">
        <f>C10</f>
        <v>21704M001</v>
      </c>
      <c r="P10" s="248">
        <f>I10</f>
        <v>7328</v>
      </c>
      <c r="Q10" s="250">
        <f>H11kog!BI13</f>
        <v>29.471937121101636</v>
      </c>
      <c r="R10" s="250">
        <f>H11kog!BJ13</f>
        <v>37.815538240758897</v>
      </c>
      <c r="S10" s="250">
        <f>H11kog!BK13</f>
        <v>-2.9986224132624439</v>
      </c>
      <c r="U10" s="248">
        <f>K10</f>
        <v>1996</v>
      </c>
      <c r="V10" s="248">
        <f>L10</f>
        <v>275</v>
      </c>
    </row>
    <row r="11" spans="1:34">
      <c r="A11" s="2"/>
      <c r="B11" s="2"/>
      <c r="C11" s="2"/>
      <c r="D11" s="2"/>
      <c r="E11" s="6">
        <v>0.2</v>
      </c>
      <c r="F11" s="6">
        <v>0.3</v>
      </c>
      <c r="G11" s="6">
        <v>1.5</v>
      </c>
      <c r="H11" s="2"/>
      <c r="I11" s="195"/>
      <c r="J11" s="2"/>
      <c r="K11" s="2"/>
      <c r="L11" s="2"/>
      <c r="N11" t="s">
        <v>185</v>
      </c>
    </row>
    <row r="12" spans="1:34">
      <c r="A12" s="14" t="s">
        <v>32</v>
      </c>
      <c r="B12" s="2"/>
      <c r="C12" s="2" t="s">
        <v>195</v>
      </c>
      <c r="D12" s="2"/>
      <c r="E12" s="14">
        <v>-3941961.4178999998</v>
      </c>
      <c r="F12" s="14">
        <v>3368148.4792999998</v>
      </c>
      <c r="G12" s="14">
        <v>3702208.6524</v>
      </c>
      <c r="H12" s="2"/>
      <c r="I12" s="195" t="s">
        <v>195</v>
      </c>
      <c r="J12" s="2"/>
      <c r="K12" s="2">
        <v>1996</v>
      </c>
      <c r="L12" s="2">
        <v>275</v>
      </c>
      <c r="N12" t="str">
        <f>A12</f>
        <v>SLR-CP0</v>
      </c>
      <c r="O12" t="str">
        <f>C12</f>
        <v>KOGL</v>
      </c>
      <c r="P12" s="248" t="str">
        <f>I12</f>
        <v>KOGL</v>
      </c>
      <c r="Q12" s="250">
        <f>H11kog!BI11</f>
        <v>9.2634355541513926</v>
      </c>
      <c r="R12" s="250">
        <f>H11kog!BJ11</f>
        <v>16.803835920864426</v>
      </c>
      <c r="S12" s="250">
        <f>H11kog!BK11</f>
        <v>9.9835424329030964</v>
      </c>
      <c r="U12" s="248">
        <f>K12</f>
        <v>1996</v>
      </c>
      <c r="V12" s="248">
        <f>L12</f>
        <v>275</v>
      </c>
    </row>
    <row r="13" spans="1:34">
      <c r="A13" s="2"/>
      <c r="B13" s="2"/>
      <c r="C13" s="2"/>
      <c r="D13" s="2"/>
      <c r="E13" s="6">
        <v>0.2</v>
      </c>
      <c r="F13" s="6">
        <v>0.3</v>
      </c>
      <c r="G13" s="6">
        <v>1.5</v>
      </c>
      <c r="H13" s="2"/>
      <c r="I13" s="195"/>
      <c r="J13" s="2"/>
      <c r="K13" s="2"/>
      <c r="L13" s="2"/>
      <c r="N13" t="s">
        <v>185</v>
      </c>
    </row>
    <row r="15" spans="1:34" ht="15.75" thickBot="1">
      <c r="Q15" s="216" t="s">
        <v>22</v>
      </c>
      <c r="R15" s="217" t="s">
        <v>23</v>
      </c>
      <c r="S15" s="217" t="s">
        <v>24</v>
      </c>
    </row>
    <row r="16" spans="1:34" ht="15.75" thickTop="1">
      <c r="A16" s="56" t="s">
        <v>62</v>
      </c>
      <c r="B16" s="56"/>
      <c r="C16" s="56" t="s">
        <v>176</v>
      </c>
      <c r="D16" s="56"/>
      <c r="E16" s="14">
        <v>-3941937.4062000001</v>
      </c>
      <c r="F16" s="14">
        <v>3368150.8602</v>
      </c>
      <c r="G16" s="14">
        <v>3702235.2757000001</v>
      </c>
      <c r="H16" s="56"/>
      <c r="I16" s="199">
        <v>7327</v>
      </c>
      <c r="J16" s="56"/>
      <c r="K16" s="56">
        <v>1997</v>
      </c>
      <c r="L16" s="56">
        <v>275</v>
      </c>
      <c r="N16" t="str">
        <f>A16</f>
        <v>Kog11-CP0</v>
      </c>
      <c r="O16" t="str">
        <f>C16</f>
        <v>21704S004</v>
      </c>
      <c r="P16" s="248">
        <f>I16</f>
        <v>7327</v>
      </c>
      <c r="Q16" s="250">
        <f>H11kog!BE14</f>
        <v>33.273046742244382</v>
      </c>
      <c r="R16" s="250">
        <f>H11kog!BF14</f>
        <v>19.186149676589672</v>
      </c>
      <c r="S16" s="250">
        <f>H11kog!BG14</f>
        <v>36.608493224035236</v>
      </c>
      <c r="U16" s="248">
        <f>K16</f>
        <v>1997</v>
      </c>
      <c r="V16" s="248">
        <f>L16</f>
        <v>275</v>
      </c>
    </row>
    <row r="17" spans="1:22">
      <c r="A17" s="2"/>
      <c r="B17" s="2"/>
      <c r="C17" s="2"/>
      <c r="D17" s="2"/>
      <c r="E17" s="6">
        <v>0.4</v>
      </c>
      <c r="F17" s="6">
        <v>0.4</v>
      </c>
      <c r="G17" s="6">
        <v>0.3</v>
      </c>
      <c r="H17" s="2"/>
      <c r="I17" s="195"/>
      <c r="J17" s="2"/>
      <c r="K17" s="2"/>
      <c r="L17" s="2"/>
      <c r="N17" t="s">
        <v>185</v>
      </c>
    </row>
    <row r="18" spans="1:22">
      <c r="A18" s="14" t="s">
        <v>139</v>
      </c>
      <c r="B18" s="14"/>
      <c r="C18" s="2" t="s">
        <v>202</v>
      </c>
      <c r="D18" s="2"/>
      <c r="E18" s="124">
        <v>-3941941.2121000001</v>
      </c>
      <c r="F18" s="124">
        <v>3368169.4876999999</v>
      </c>
      <c r="G18" s="125">
        <v>3702195.6669999999</v>
      </c>
      <c r="H18" s="2"/>
      <c r="I18" s="195">
        <v>7328</v>
      </c>
      <c r="J18" s="2"/>
      <c r="K18" s="56">
        <v>1997</v>
      </c>
      <c r="L18" s="2">
        <v>275</v>
      </c>
      <c r="N18" t="str">
        <f>A18</f>
        <v>SLR-S2(RT)</v>
      </c>
      <c r="O18" t="str">
        <f>C18</f>
        <v>21704M001</v>
      </c>
      <c r="P18" s="248">
        <f>I18</f>
        <v>7328</v>
      </c>
      <c r="Q18" s="250">
        <f>H11kog!BE13</f>
        <v>29.468072388241563</v>
      </c>
      <c r="R18" s="250">
        <f>H11kog!BF13</f>
        <v>37.814236682223978</v>
      </c>
      <c r="S18" s="250">
        <f>H11kog!BG13</f>
        <v>-2.9995812591720199</v>
      </c>
      <c r="U18" s="248">
        <f>K18</f>
        <v>1997</v>
      </c>
      <c r="V18" s="248">
        <f>L18</f>
        <v>275</v>
      </c>
    </row>
    <row r="19" spans="1:22">
      <c r="A19" s="2"/>
      <c r="B19" s="2"/>
      <c r="C19" s="2"/>
      <c r="D19" s="2"/>
      <c r="E19" s="6">
        <v>0.2</v>
      </c>
      <c r="F19" s="6">
        <v>0.3</v>
      </c>
      <c r="G19" s="6">
        <v>1.5</v>
      </c>
      <c r="H19" s="2"/>
      <c r="I19" s="195"/>
      <c r="J19" s="2"/>
      <c r="K19" s="2"/>
      <c r="L19" s="2"/>
      <c r="N19" t="s">
        <v>185</v>
      </c>
    </row>
    <row r="20" spans="1:22" ht="15.75" thickBot="1">
      <c r="A20" s="222" t="s">
        <v>119</v>
      </c>
      <c r="B20" s="2"/>
      <c r="C20" s="2" t="s">
        <v>204</v>
      </c>
      <c r="D20" s="2"/>
      <c r="E20" s="124">
        <v>-3942020.1113</v>
      </c>
      <c r="F20" s="124">
        <v>3368097.5428999998</v>
      </c>
      <c r="G20" s="125">
        <v>3702191.0310999998</v>
      </c>
      <c r="H20" s="2"/>
      <c r="I20" s="195">
        <v>7308</v>
      </c>
      <c r="J20" s="2"/>
      <c r="K20" s="56">
        <v>1997</v>
      </c>
      <c r="L20" s="2">
        <v>275</v>
      </c>
      <c r="N20" t="str">
        <f>A20</f>
        <v>SLR1.5m</v>
      </c>
      <c r="O20" t="str">
        <f>C20</f>
        <v xml:space="preserve"> 21704S002</v>
      </c>
      <c r="P20" s="248">
        <f>I20</f>
        <v>7308</v>
      </c>
      <c r="Q20" s="250">
        <f>H11kog!BE16</f>
        <v>-49.428433652770622</v>
      </c>
      <c r="R20" s="250">
        <f>H11kog!BF16</f>
        <v>-34.132635665591579</v>
      </c>
      <c r="S20" s="250">
        <f>H11kog!BG16</f>
        <v>-7.6385941680153415</v>
      </c>
      <c r="U20" s="248">
        <f>K20</f>
        <v>1997</v>
      </c>
      <c r="V20" s="248">
        <f>L20</f>
        <v>275</v>
      </c>
    </row>
    <row r="21" spans="1:22">
      <c r="A21" s="2"/>
      <c r="B21" s="2"/>
      <c r="C21" s="2"/>
      <c r="D21" s="2"/>
      <c r="E21" s="6">
        <v>0.4</v>
      </c>
      <c r="F21" s="6">
        <v>0.4</v>
      </c>
      <c r="G21" s="6">
        <v>0.3</v>
      </c>
      <c r="H21" s="2"/>
      <c r="I21" s="195"/>
      <c r="J21" s="2"/>
      <c r="K21" s="2"/>
      <c r="L21" s="2"/>
      <c r="N21" t="s">
        <v>245</v>
      </c>
    </row>
    <row r="22" spans="1:22">
      <c r="A22" s="14" t="s">
        <v>32</v>
      </c>
      <c r="B22" s="2"/>
      <c r="C22" s="2" t="s">
        <v>195</v>
      </c>
      <c r="D22" s="2"/>
      <c r="E22" s="14">
        <v>-3941961.4281000001</v>
      </c>
      <c r="F22" s="14">
        <v>3368148.4848000002</v>
      </c>
      <c r="G22" s="14">
        <v>3702208.6586000002</v>
      </c>
      <c r="H22" s="2"/>
      <c r="I22" s="195" t="s">
        <v>195</v>
      </c>
      <c r="J22" s="2"/>
      <c r="K22" s="56">
        <v>1997</v>
      </c>
      <c r="L22" s="2">
        <v>275</v>
      </c>
      <c r="N22" t="str">
        <f>A22</f>
        <v>SLR-CP0</v>
      </c>
      <c r="O22" t="str">
        <f>C22</f>
        <v>KOGL</v>
      </c>
      <c r="P22" s="248" t="str">
        <f>I22</f>
        <v>KOGL</v>
      </c>
      <c r="Q22" s="250">
        <f>H11kog!BE11</f>
        <v>9.2532639071324105</v>
      </c>
      <c r="R22" s="250">
        <f>H11kog!BF11</f>
        <v>16.809368831422987</v>
      </c>
      <c r="S22" s="250">
        <f>H11kog!BG11</f>
        <v>9.9897136969084137</v>
      </c>
      <c r="U22" s="248">
        <f>K22</f>
        <v>1997</v>
      </c>
      <c r="V22" s="248">
        <f>L22</f>
        <v>275</v>
      </c>
    </row>
    <row r="23" spans="1:22">
      <c r="A23" s="2"/>
      <c r="B23" s="2"/>
      <c r="C23" s="2"/>
      <c r="D23" s="2"/>
      <c r="E23" s="6">
        <v>0.2</v>
      </c>
      <c r="F23" s="6">
        <v>0.3</v>
      </c>
      <c r="G23" s="6">
        <v>1.5</v>
      </c>
      <c r="H23" s="2"/>
      <c r="I23" s="195"/>
      <c r="J23" s="2"/>
      <c r="K23" s="2"/>
      <c r="L23" s="2"/>
    </row>
    <row r="25" spans="1:22" ht="15.75" thickBot="1">
      <c r="Q25" s="216" t="s">
        <v>22</v>
      </c>
      <c r="R25" s="217" t="s">
        <v>23</v>
      </c>
      <c r="S25" s="217" t="s">
        <v>24</v>
      </c>
    </row>
    <row r="26" spans="1:22" ht="15.75" thickTop="1">
      <c r="A26" s="56" t="s">
        <v>62</v>
      </c>
      <c r="B26" s="56"/>
      <c r="C26" s="56" t="s">
        <v>176</v>
      </c>
      <c r="D26" s="56"/>
      <c r="E26" s="14">
        <v>-3941937.4068</v>
      </c>
      <c r="F26" s="14">
        <v>3368150.8620000002</v>
      </c>
      <c r="G26" s="14">
        <v>3702235.2776000001</v>
      </c>
      <c r="H26" s="56"/>
      <c r="I26" s="199">
        <v>7327</v>
      </c>
      <c r="J26" s="56"/>
      <c r="K26" s="56">
        <v>1998</v>
      </c>
      <c r="L26" s="56">
        <v>275</v>
      </c>
      <c r="N26" t="str">
        <f>A26</f>
        <v>Kog11-CP0</v>
      </c>
      <c r="O26" t="str">
        <f>C26</f>
        <v>21704S004</v>
      </c>
      <c r="P26" s="248">
        <f>I26</f>
        <v>7327</v>
      </c>
      <c r="Q26" s="250">
        <f>H11kog!BA14</f>
        <v>33.272419025892859</v>
      </c>
      <c r="R26" s="250">
        <f>H11kog!BB14</f>
        <v>19.18800107112477</v>
      </c>
      <c r="S26" s="250">
        <f>H11kog!BC14</f>
        <v>36.610439582310278</v>
      </c>
      <c r="U26" s="248">
        <f>K26</f>
        <v>1998</v>
      </c>
      <c r="V26" s="248">
        <f>L26</f>
        <v>275</v>
      </c>
    </row>
    <row r="27" spans="1:22">
      <c r="A27" s="2"/>
      <c r="B27" s="2"/>
      <c r="C27" s="2"/>
      <c r="D27" s="2"/>
      <c r="E27" s="6">
        <v>0.4</v>
      </c>
      <c r="F27" s="6">
        <v>0.4</v>
      </c>
      <c r="G27" s="6">
        <v>0.3</v>
      </c>
      <c r="H27" s="2"/>
      <c r="I27" s="195"/>
      <c r="J27" s="2"/>
      <c r="K27" s="2"/>
      <c r="L27" s="2"/>
      <c r="N27" t="s">
        <v>185</v>
      </c>
    </row>
    <row r="28" spans="1:22">
      <c r="A28" s="14" t="s">
        <v>139</v>
      </c>
      <c r="B28" s="14"/>
      <c r="C28" s="2" t="s">
        <v>202</v>
      </c>
      <c r="D28" s="2"/>
      <c r="E28" s="124">
        <v>-3941941.2122</v>
      </c>
      <c r="F28" s="124">
        <v>3368169.4874999998</v>
      </c>
      <c r="G28" s="125">
        <v>3702195.6669000001</v>
      </c>
      <c r="H28" s="2"/>
      <c r="I28" s="195">
        <v>7328</v>
      </c>
      <c r="J28" s="2"/>
      <c r="K28" s="56">
        <v>1998</v>
      </c>
      <c r="L28" s="2">
        <v>275</v>
      </c>
      <c r="N28" t="str">
        <f>A28</f>
        <v>SLR-S2(RT)</v>
      </c>
      <c r="O28" t="str">
        <f>C28</f>
        <v>21704M001</v>
      </c>
      <c r="P28" s="248">
        <f>I28</f>
        <v>7328</v>
      </c>
      <c r="Q28" s="250">
        <f>H11kog!BA13</f>
        <v>29.46889327720239</v>
      </c>
      <c r="R28" s="250">
        <f>H11kog!BB13</f>
        <v>37.813272384500578</v>
      </c>
      <c r="S28" s="250">
        <f>H11kog!BC13</f>
        <v>-3.0004800757489867</v>
      </c>
      <c r="U28" s="248">
        <f>K28</f>
        <v>1998</v>
      </c>
      <c r="V28" s="248">
        <f>L28</f>
        <v>275</v>
      </c>
    </row>
    <row r="29" spans="1:22">
      <c r="A29" s="2"/>
      <c r="B29" s="2"/>
      <c r="C29" s="2"/>
      <c r="D29" s="2"/>
      <c r="E29" s="6">
        <v>0.2</v>
      </c>
      <c r="F29" s="6">
        <v>0.3</v>
      </c>
      <c r="G29" s="6">
        <v>1.5</v>
      </c>
      <c r="H29" s="2"/>
      <c r="I29" s="195"/>
      <c r="J29" s="2"/>
      <c r="K29" s="2"/>
      <c r="L29" s="2"/>
      <c r="N29" t="s">
        <v>185</v>
      </c>
    </row>
    <row r="30" spans="1:22">
      <c r="A30" s="14" t="s">
        <v>244</v>
      </c>
      <c r="B30" s="2"/>
      <c r="C30" s="2" t="s">
        <v>3</v>
      </c>
      <c r="D30" s="2"/>
      <c r="E30" s="14">
        <v>-3941949.1590999998</v>
      </c>
      <c r="F30" s="14">
        <v>3368156.3191</v>
      </c>
      <c r="G30" s="14">
        <v>3702214.8783</v>
      </c>
      <c r="H30" s="2"/>
      <c r="I30" s="195" t="s">
        <v>3</v>
      </c>
      <c r="J30" s="2"/>
      <c r="K30" s="56">
        <v>1998</v>
      </c>
      <c r="L30" s="2">
        <v>275</v>
      </c>
      <c r="N30" t="str">
        <f>A30</f>
        <v>SLR-TGPS</v>
      </c>
      <c r="O30" t="str">
        <f>C30</f>
        <v>KGNI</v>
      </c>
      <c r="P30" s="248" t="str">
        <f>I30</f>
        <v>KGNI</v>
      </c>
      <c r="Q30" s="144">
        <f>H11kog!BA18</f>
        <v>21.518498328027025</v>
      </c>
      <c r="R30" s="144">
        <f>H11kog!BB18</f>
        <v>24.645920555310759</v>
      </c>
      <c r="S30" s="144">
        <f>H11kog!BC18</f>
        <v>16.211851477410285</v>
      </c>
      <c r="U30" s="248">
        <f>K30</f>
        <v>1998</v>
      </c>
      <c r="V30" s="248">
        <f>L30</f>
        <v>275</v>
      </c>
    </row>
    <row r="31" spans="1:22">
      <c r="A31" s="2"/>
      <c r="B31" s="2"/>
      <c r="C31" s="2"/>
      <c r="D31" s="2"/>
      <c r="E31" s="6">
        <v>0.1</v>
      </c>
      <c r="F31" s="6">
        <v>0.2</v>
      </c>
      <c r="G31" s="87">
        <v>0.1</v>
      </c>
      <c r="H31" s="2"/>
      <c r="I31" s="195"/>
      <c r="J31" s="2"/>
      <c r="K31" s="2"/>
      <c r="L31" s="2"/>
      <c r="N31" t="s">
        <v>185</v>
      </c>
    </row>
    <row r="32" spans="1:22">
      <c r="A32" s="14" t="s">
        <v>32</v>
      </c>
      <c r="B32" s="2"/>
      <c r="C32" s="2" t="s">
        <v>195</v>
      </c>
      <c r="D32" s="2"/>
      <c r="E32" s="14">
        <v>-3941961.4306000001</v>
      </c>
      <c r="F32" s="14">
        <v>3368148.4844999998</v>
      </c>
      <c r="G32" s="14">
        <v>3702208.6623</v>
      </c>
      <c r="H32" s="2"/>
      <c r="I32" s="195" t="s">
        <v>195</v>
      </c>
      <c r="J32" s="2"/>
      <c r="K32" s="56">
        <v>1998</v>
      </c>
      <c r="L32" s="2">
        <v>275</v>
      </c>
      <c r="N32" t="str">
        <f>A32</f>
        <v>SLR-CP0</v>
      </c>
      <c r="O32" t="str">
        <f>C32</f>
        <v>KOGL</v>
      </c>
      <c r="P32" s="248" t="str">
        <f>I32</f>
        <v>KOGL</v>
      </c>
      <c r="Q32" s="250">
        <f>H11kog!BA11</f>
        <v>9.2507595053607758</v>
      </c>
      <c r="R32" s="250">
        <f>H11kog!BB11</f>
        <v>16.80914072217157</v>
      </c>
      <c r="S32" s="250">
        <f>H11kog!BC11</f>
        <v>9.9934387389308803</v>
      </c>
      <c r="U32" s="248">
        <f>K32</f>
        <v>1998</v>
      </c>
      <c r="V32" s="248">
        <f>L32</f>
        <v>275</v>
      </c>
    </row>
    <row r="33" spans="1:22">
      <c r="A33" s="2"/>
      <c r="B33" s="2"/>
      <c r="C33" s="2"/>
      <c r="D33" s="2"/>
      <c r="E33" s="6">
        <v>0.2</v>
      </c>
      <c r="F33" s="6">
        <v>0.3</v>
      </c>
      <c r="G33" s="6">
        <v>1.5</v>
      </c>
      <c r="H33" s="2"/>
      <c r="I33" s="195"/>
      <c r="J33" s="2"/>
      <c r="K33" s="2"/>
      <c r="L33" s="2"/>
      <c r="N33" t="s">
        <v>185</v>
      </c>
    </row>
    <row r="36" spans="1:22">
      <c r="A36" s="56" t="s">
        <v>62</v>
      </c>
      <c r="B36" s="56"/>
      <c r="C36" s="56" t="s">
        <v>176</v>
      </c>
      <c r="D36" s="56"/>
      <c r="E36" s="124">
        <v>-3941937.4078000002</v>
      </c>
      <c r="F36" s="124">
        <v>3368150.8618000001</v>
      </c>
      <c r="G36" s="125">
        <v>3702235.2741</v>
      </c>
      <c r="H36" s="56"/>
      <c r="I36" s="199">
        <v>7327</v>
      </c>
      <c r="J36" s="56"/>
      <c r="K36" s="56">
        <v>1999</v>
      </c>
      <c r="L36" s="56">
        <v>305</v>
      </c>
      <c r="N36" t="str">
        <f>A36</f>
        <v>Kog11-CP0</v>
      </c>
      <c r="O36" t="str">
        <f>C36</f>
        <v>21704S004</v>
      </c>
      <c r="P36" s="248">
        <f>I36</f>
        <v>7327</v>
      </c>
      <c r="Q36" s="250">
        <f>H11kog!AW14</f>
        <v>33.271405567835352</v>
      </c>
      <c r="R36" s="250">
        <f>H11kog!AX14</f>
        <v>19.187814922515109</v>
      </c>
      <c r="S36" s="250">
        <f>H11kog!AY14</f>
        <v>36.606965643401281</v>
      </c>
      <c r="U36" s="248">
        <f>K36</f>
        <v>1999</v>
      </c>
      <c r="V36" s="248">
        <f>L36</f>
        <v>305</v>
      </c>
    </row>
    <row r="37" spans="1:22">
      <c r="A37" s="2"/>
      <c r="B37" s="2"/>
      <c r="C37" s="2"/>
      <c r="D37" s="2"/>
      <c r="E37" s="6">
        <v>0.4</v>
      </c>
      <c r="F37" s="6">
        <v>0.4</v>
      </c>
      <c r="G37" s="6">
        <v>0.3</v>
      </c>
      <c r="H37" s="2"/>
      <c r="I37" s="195"/>
      <c r="J37" s="2"/>
      <c r="K37" s="2"/>
      <c r="L37" s="2"/>
    </row>
    <row r="38" spans="1:22">
      <c r="A38" s="14" t="s">
        <v>139</v>
      </c>
      <c r="B38" s="14"/>
      <c r="C38" s="2" t="s">
        <v>202</v>
      </c>
      <c r="D38" s="2"/>
      <c r="E38" s="124">
        <v>-3941941.2154999999</v>
      </c>
      <c r="F38" s="124">
        <v>3368169.4879999999</v>
      </c>
      <c r="G38" s="125">
        <v>3702195.6634</v>
      </c>
      <c r="H38" s="2"/>
      <c r="I38" s="195">
        <v>7328</v>
      </c>
      <c r="J38" s="2"/>
      <c r="K38" s="56">
        <v>1999</v>
      </c>
      <c r="L38" s="56">
        <v>305</v>
      </c>
      <c r="N38" t="str">
        <f>A38</f>
        <v>SLR-S2(RT)</v>
      </c>
      <c r="O38" t="str">
        <f>C38</f>
        <v>21704M001</v>
      </c>
      <c r="P38" s="248">
        <f>I38</f>
        <v>7328</v>
      </c>
      <c r="Q38" s="250">
        <f>H11kog!AW13</f>
        <v>29.465559464886109</v>
      </c>
      <c r="R38" s="250">
        <f>H11kog!AX13</f>
        <v>37.813753337676914</v>
      </c>
      <c r="S38" s="250">
        <f>H11kog!AY13</f>
        <v>-3.0040986914576888</v>
      </c>
      <c r="U38" s="248">
        <f>K38</f>
        <v>1999</v>
      </c>
      <c r="V38" s="248">
        <f>L38</f>
        <v>305</v>
      </c>
    </row>
    <row r="39" spans="1:22">
      <c r="A39" s="2"/>
      <c r="B39" s="2"/>
      <c r="C39" s="2"/>
      <c r="D39" s="2"/>
      <c r="E39" s="6">
        <v>0.2</v>
      </c>
      <c r="F39" s="6">
        <v>0.3</v>
      </c>
      <c r="G39" s="6">
        <v>1.5</v>
      </c>
      <c r="H39" s="2"/>
      <c r="I39" s="195"/>
      <c r="J39" s="2"/>
      <c r="K39" s="2"/>
      <c r="L39" s="2"/>
    </row>
    <row r="40" spans="1:22">
      <c r="A40" s="14" t="s">
        <v>244</v>
      </c>
      <c r="B40" s="2"/>
      <c r="C40" s="2" t="s">
        <v>3</v>
      </c>
      <c r="D40" s="2"/>
      <c r="E40" s="124">
        <v>-3941949.1598999999</v>
      </c>
      <c r="F40" s="124">
        <v>3368156.3202</v>
      </c>
      <c r="G40" s="125">
        <v>3702214.8753999998</v>
      </c>
      <c r="H40" s="2"/>
      <c r="I40" s="195" t="s">
        <v>3</v>
      </c>
      <c r="J40" s="2"/>
      <c r="K40" s="56">
        <v>1999</v>
      </c>
      <c r="L40" s="56">
        <v>305</v>
      </c>
      <c r="N40" t="str">
        <f>A40</f>
        <v>SLR-TGPS</v>
      </c>
      <c r="O40" t="str">
        <f>C40</f>
        <v>KGNI</v>
      </c>
      <c r="P40" s="248" t="str">
        <f>I40</f>
        <v>KGNI</v>
      </c>
      <c r="Q40" s="250">
        <f>H11kog!AW18</f>
        <v>21.520569924375422</v>
      </c>
      <c r="R40" s="250">
        <f>H11kog!AX18</f>
        <v>24.645466269619352</v>
      </c>
      <c r="S40" s="250">
        <f>H11kog!AY18</f>
        <v>16.207428569627645</v>
      </c>
      <c r="U40" s="248">
        <f>K40</f>
        <v>1999</v>
      </c>
      <c r="V40" s="248">
        <f>L40</f>
        <v>305</v>
      </c>
    </row>
    <row r="41" spans="1:22">
      <c r="A41" s="2"/>
      <c r="B41" s="2"/>
      <c r="C41" s="2"/>
      <c r="D41" s="2"/>
      <c r="E41" s="6">
        <v>0.1</v>
      </c>
      <c r="F41" s="6">
        <v>0.2</v>
      </c>
      <c r="G41" s="87">
        <v>0.1</v>
      </c>
      <c r="H41" s="2"/>
      <c r="I41" s="195"/>
      <c r="J41" s="2"/>
      <c r="K41" s="2"/>
      <c r="L41" s="2"/>
    </row>
    <row r="42" spans="1:22">
      <c r="A42" s="14" t="s">
        <v>32</v>
      </c>
      <c r="B42" s="2"/>
      <c r="C42" s="2" t="s">
        <v>195</v>
      </c>
      <c r="D42" s="2"/>
      <c r="E42" s="124">
        <v>-3941961.4292000001</v>
      </c>
      <c r="F42" s="124">
        <v>3368148.4852999998</v>
      </c>
      <c r="G42" s="125">
        <v>3702208.6598999999</v>
      </c>
      <c r="H42" s="2"/>
      <c r="I42" s="195" t="s">
        <v>195</v>
      </c>
      <c r="J42" s="2"/>
      <c r="K42" s="56">
        <v>1999</v>
      </c>
      <c r="L42" s="56">
        <v>305</v>
      </c>
      <c r="N42" t="str">
        <f>A42</f>
        <v>SLR-CP0</v>
      </c>
      <c r="O42" t="str">
        <f>C42</f>
        <v>KOGL</v>
      </c>
      <c r="P42" s="248" t="str">
        <f>I42</f>
        <v>KOGL</v>
      </c>
      <c r="Q42" s="250">
        <f>H11kog!AW11</f>
        <v>9.2521969455013728</v>
      </c>
      <c r="R42" s="250">
        <f>H11kog!AX11</f>
        <v>16.809885705189082</v>
      </c>
      <c r="S42" s="250">
        <f>H11kog!AY11</f>
        <v>9.9910306761858525</v>
      </c>
      <c r="U42" s="248">
        <f>K42</f>
        <v>1999</v>
      </c>
      <c r="V42" s="248">
        <f>L42</f>
        <v>305</v>
      </c>
    </row>
    <row r="43" spans="1:22">
      <c r="A43" s="2"/>
      <c r="B43" s="2"/>
      <c r="C43" s="2"/>
      <c r="D43" s="2"/>
      <c r="E43" s="6">
        <v>0.2</v>
      </c>
      <c r="F43" s="6">
        <v>0.3</v>
      </c>
      <c r="G43" s="6">
        <v>1.5</v>
      </c>
      <c r="H43" s="2"/>
      <c r="I43" s="195"/>
      <c r="J43" s="2"/>
      <c r="K43" s="2"/>
      <c r="L43" s="2"/>
    </row>
    <row r="46" spans="1:22">
      <c r="A46" s="56" t="s">
        <v>62</v>
      </c>
      <c r="B46" s="56"/>
      <c r="C46" s="56" t="s">
        <v>176</v>
      </c>
      <c r="D46" s="56"/>
      <c r="E46" s="124">
        <v>-3941937.6242999998</v>
      </c>
      <c r="F46" s="124">
        <v>3368150.6740999999</v>
      </c>
      <c r="G46" s="125">
        <v>3702235.3108999999</v>
      </c>
      <c r="H46" s="56"/>
      <c r="I46" s="199">
        <v>7327</v>
      </c>
      <c r="J46" s="56"/>
      <c r="K46" s="56">
        <v>2013</v>
      </c>
      <c r="L46" s="56">
        <v>252</v>
      </c>
      <c r="N46" t="str">
        <f>A46</f>
        <v>Kog11-CP0</v>
      </c>
      <c r="O46" t="str">
        <f>C46</f>
        <v>21704S004</v>
      </c>
      <c r="P46" s="248">
        <f>I46</f>
        <v>7327</v>
      </c>
      <c r="Q46" s="250">
        <f>H11kog!AT14</f>
        <v>33.269525613696715</v>
      </c>
      <c r="R46" s="250">
        <f>H11kog!AU14</f>
        <v>19.187973950467889</v>
      </c>
      <c r="S46" s="250">
        <f>H11kog!AV14</f>
        <v>36.611515421715154</v>
      </c>
      <c r="U46" s="248">
        <f>K46</f>
        <v>2013</v>
      </c>
      <c r="V46" s="248">
        <f>L46</f>
        <v>252</v>
      </c>
    </row>
    <row r="47" spans="1:22">
      <c r="A47" s="2"/>
      <c r="B47" s="2"/>
      <c r="C47" s="2"/>
      <c r="D47" s="2"/>
      <c r="E47" s="6">
        <v>0.4</v>
      </c>
      <c r="F47" s="6">
        <v>0.4</v>
      </c>
      <c r="G47" s="6">
        <v>0.3</v>
      </c>
      <c r="H47" s="2"/>
      <c r="I47" s="195"/>
      <c r="J47" s="2"/>
      <c r="K47" s="2"/>
      <c r="L47" s="2"/>
      <c r="N47" t="s">
        <v>185</v>
      </c>
    </row>
    <row r="48" spans="1:22">
      <c r="A48" s="14" t="s">
        <v>139</v>
      </c>
      <c r="B48" s="14"/>
      <c r="C48" s="2" t="s">
        <v>202</v>
      </c>
      <c r="D48" s="2"/>
      <c r="E48" s="124">
        <v>-3941941.4314999999</v>
      </c>
      <c r="F48" s="124">
        <v>3368169.3037999999</v>
      </c>
      <c r="G48" s="125">
        <v>3702195.6962000001</v>
      </c>
      <c r="H48" s="2"/>
      <c r="I48" s="195">
        <v>7328</v>
      </c>
      <c r="J48" s="2"/>
      <c r="K48" s="56">
        <v>2013</v>
      </c>
      <c r="L48" s="56">
        <v>252</v>
      </c>
      <c r="N48" t="str">
        <f>A48</f>
        <v>SLR-S2(RT)</v>
      </c>
      <c r="O48" t="str">
        <f>C48</f>
        <v>21704M001</v>
      </c>
      <c r="P48" s="248">
        <f>I48</f>
        <v>7328</v>
      </c>
      <c r="Q48" s="250">
        <f>H11kog!AT13</f>
        <v>29.465155753767405</v>
      </c>
      <c r="R48" s="250">
        <f>H11kog!AU13</f>
        <v>37.816728746411336</v>
      </c>
      <c r="S48" s="250">
        <f>H11kog!AV13</f>
        <v>-3.0043360945577207</v>
      </c>
      <c r="U48" s="248">
        <f>K48</f>
        <v>2013</v>
      </c>
      <c r="V48" s="248">
        <f>L48</f>
        <v>252</v>
      </c>
    </row>
    <row r="49" spans="1:31">
      <c r="A49" s="2"/>
      <c r="B49" s="2"/>
      <c r="C49" s="2"/>
      <c r="D49" s="2"/>
      <c r="E49" s="6">
        <v>0.2</v>
      </c>
      <c r="F49" s="6">
        <v>0.3</v>
      </c>
      <c r="G49" s="6">
        <v>1.5</v>
      </c>
      <c r="H49" s="2"/>
      <c r="I49" s="195"/>
      <c r="J49" s="2"/>
      <c r="K49" s="2"/>
      <c r="L49" s="2"/>
      <c r="N49" t="s">
        <v>185</v>
      </c>
    </row>
    <row r="50" spans="1:31" ht="15.75" thickBot="1">
      <c r="A50" s="222" t="s">
        <v>119</v>
      </c>
      <c r="B50" s="2"/>
      <c r="C50" s="2" t="s">
        <v>204</v>
      </c>
      <c r="D50" s="2"/>
      <c r="E50" s="124">
        <v>-3942020.3258000002</v>
      </c>
      <c r="F50" s="124">
        <v>3368097.3572</v>
      </c>
      <c r="G50" s="125">
        <v>3702191.0547000002</v>
      </c>
      <c r="H50" s="2"/>
      <c r="I50" s="195">
        <v>7308</v>
      </c>
      <c r="J50" s="2"/>
      <c r="K50" s="56">
        <v>2013</v>
      </c>
      <c r="L50" s="56">
        <v>252</v>
      </c>
      <c r="N50" t="str">
        <f>A50</f>
        <v>SLR1.5m</v>
      </c>
      <c r="O50" t="str">
        <f>C50</f>
        <v xml:space="preserve"> 21704S002</v>
      </c>
      <c r="P50" s="248">
        <f>I50</f>
        <v>7308</v>
      </c>
      <c r="Q50" s="250">
        <f>H11kog!AT16</f>
        <v>-49.425414367236641</v>
      </c>
      <c r="R50" s="250">
        <f>H11kog!AU16</f>
        <v>-34.13374077020076</v>
      </c>
      <c r="S50" s="250">
        <f>H11kog!AV16</f>
        <v>-7.6509141794041513</v>
      </c>
      <c r="U50" s="248">
        <f>K50</f>
        <v>2013</v>
      </c>
      <c r="V50" s="248">
        <f>L50</f>
        <v>252</v>
      </c>
    </row>
    <row r="51" spans="1:31">
      <c r="A51" s="2"/>
      <c r="B51" s="2"/>
      <c r="C51" s="2"/>
      <c r="D51" s="2"/>
      <c r="E51" s="6">
        <v>0.4</v>
      </c>
      <c r="F51" s="6">
        <v>0.4</v>
      </c>
      <c r="G51" s="6">
        <v>0.3</v>
      </c>
      <c r="H51" s="2"/>
      <c r="I51" s="195"/>
      <c r="J51" s="2"/>
      <c r="K51" s="2"/>
      <c r="L51" s="2"/>
      <c r="N51" t="s">
        <v>245</v>
      </c>
    </row>
    <row r="52" spans="1:31">
      <c r="A52" s="14" t="s">
        <v>244</v>
      </c>
      <c r="B52" s="2"/>
      <c r="C52" s="2" t="s">
        <v>3</v>
      </c>
      <c r="D52" s="2"/>
      <c r="E52" s="124">
        <v>-3941949.3347999998</v>
      </c>
      <c r="F52" s="124">
        <v>3368156.0975000001</v>
      </c>
      <c r="G52" s="125">
        <v>3702214.8714999999</v>
      </c>
      <c r="H52" s="2"/>
      <c r="I52" s="195" t="s">
        <v>3</v>
      </c>
      <c r="J52" s="2"/>
      <c r="K52" s="56">
        <v>2013</v>
      </c>
      <c r="L52" s="56">
        <v>252</v>
      </c>
      <c r="N52" t="str">
        <f>A52</f>
        <v>SLR-TGPS</v>
      </c>
      <c r="O52" t="str">
        <f>C52</f>
        <v>KGNI</v>
      </c>
      <c r="P52" s="248" t="str">
        <f>I52</f>
        <v>KGNI</v>
      </c>
      <c r="Q52" s="250">
        <f>H11kog!AT18</f>
        <v>21.874984739341343</v>
      </c>
      <c r="R52" s="250">
        <f>H11kog!AU18</f>
        <v>24.341781455515054</v>
      </c>
      <c r="S52" s="250">
        <f>H11kog!AV18</f>
        <v>15.873811864466383</v>
      </c>
      <c r="U52" s="248">
        <f>K52</f>
        <v>2013</v>
      </c>
      <c r="V52" s="248">
        <f>L52</f>
        <v>252</v>
      </c>
    </row>
    <row r="53" spans="1:31">
      <c r="A53" s="2"/>
      <c r="B53" s="2"/>
      <c r="C53" s="2"/>
      <c r="D53" s="2"/>
      <c r="E53" s="6">
        <v>0.1</v>
      </c>
      <c r="F53" s="6">
        <v>0.2</v>
      </c>
      <c r="G53" s="87">
        <v>0.1</v>
      </c>
      <c r="H53" s="2"/>
      <c r="I53" s="195"/>
      <c r="J53" s="2"/>
      <c r="K53" s="2"/>
      <c r="L53" s="2"/>
      <c r="N53" t="s">
        <v>185</v>
      </c>
    </row>
    <row r="54" spans="1:31">
      <c r="A54" s="14" t="s">
        <v>32</v>
      </c>
      <c r="B54" s="2"/>
      <c r="C54" s="2" t="s">
        <v>195</v>
      </c>
      <c r="D54" s="2"/>
      <c r="E54" s="124">
        <v>-3941961.6436000001</v>
      </c>
      <c r="F54" s="124">
        <v>3368148.2971000001</v>
      </c>
      <c r="G54" s="125">
        <v>3702208.6918000001</v>
      </c>
      <c r="H54" s="2"/>
      <c r="I54" s="195" t="s">
        <v>195</v>
      </c>
      <c r="J54" s="2"/>
      <c r="K54" s="56">
        <v>2013</v>
      </c>
      <c r="L54" s="56">
        <v>252</v>
      </c>
      <c r="N54" t="str">
        <f>A54</f>
        <v>SLR-CP0</v>
      </c>
      <c r="O54" t="str">
        <f>C54</f>
        <v>KOGL</v>
      </c>
      <c r="P54" s="248" t="str">
        <f>I54</f>
        <v>KOGL</v>
      </c>
      <c r="Q54" s="250">
        <f>H11kog!AT11</f>
        <v>9.2523313632554931</v>
      </c>
      <c r="R54" s="250">
        <f>H11kog!AU11</f>
        <v>16.80950784352931</v>
      </c>
      <c r="S54" s="250">
        <f>H11kog!AV11</f>
        <v>9.990657644770959</v>
      </c>
      <c r="U54" s="248">
        <f>K54</f>
        <v>2013</v>
      </c>
      <c r="V54" s="248">
        <f>L54</f>
        <v>252</v>
      </c>
    </row>
    <row r="55" spans="1:31">
      <c r="A55" s="2"/>
      <c r="B55" s="2"/>
      <c r="C55" s="2"/>
      <c r="D55" s="2"/>
      <c r="E55" s="6">
        <v>0.2</v>
      </c>
      <c r="F55" s="6">
        <v>0.3</v>
      </c>
      <c r="G55" s="6">
        <v>1.5</v>
      </c>
      <c r="H55" s="2"/>
      <c r="I55" s="195"/>
      <c r="J55" s="2"/>
      <c r="K55" s="2"/>
      <c r="L55" s="2"/>
      <c r="N55" t="s">
        <v>185</v>
      </c>
    </row>
    <row r="57" spans="1:31">
      <c r="C57" t="s">
        <v>191</v>
      </c>
      <c r="E57" s="1"/>
      <c r="F57" s="151" t="s">
        <v>22</v>
      </c>
      <c r="G57" s="151" t="s">
        <v>23</v>
      </c>
      <c r="H57" s="151" t="s">
        <v>24</v>
      </c>
      <c r="I57" s="200"/>
      <c r="J57" s="9"/>
      <c r="K57" s="152" t="s">
        <v>5</v>
      </c>
      <c r="L57" s="151" t="s">
        <v>4</v>
      </c>
      <c r="M57" s="151" t="s">
        <v>6</v>
      </c>
    </row>
    <row r="58" spans="1:31">
      <c r="E58" s="1"/>
      <c r="F58" s="169">
        <v>-20213.213509233108</v>
      </c>
      <c r="G58" s="169">
        <v>-21004.062834644821</v>
      </c>
      <c r="H58" s="169">
        <v>12995.08667645001</v>
      </c>
      <c r="I58" s="200"/>
      <c r="J58" s="9"/>
      <c r="K58" s="210">
        <v>29099.4</v>
      </c>
      <c r="L58" s="169">
        <v>9545.9</v>
      </c>
      <c r="M58" s="169">
        <v>8984.2999999999993</v>
      </c>
    </row>
    <row r="59" spans="1:31">
      <c r="A59" s="7"/>
      <c r="B59" s="7"/>
      <c r="C59" s="7"/>
      <c r="D59" s="7"/>
      <c r="E59" s="7"/>
      <c r="F59" s="8">
        <v>2</v>
      </c>
      <c r="G59" s="8">
        <v>2</v>
      </c>
      <c r="H59" s="8">
        <v>2</v>
      </c>
      <c r="I59" s="193"/>
      <c r="J59" s="7"/>
      <c r="K59" s="8">
        <v>2</v>
      </c>
      <c r="L59" s="8">
        <v>2</v>
      </c>
      <c r="M59" s="8">
        <v>2</v>
      </c>
      <c r="N59" s="7"/>
      <c r="O59" s="7"/>
      <c r="P59" s="7"/>
      <c r="Q59" s="7"/>
      <c r="R59" s="7"/>
      <c r="S59" s="7"/>
    </row>
    <row r="60" spans="1:31" ht="15.75" thickBot="1">
      <c r="A60" s="36"/>
      <c r="B60" s="36"/>
      <c r="C60" s="36"/>
      <c r="D60" s="36"/>
      <c r="E60" s="36"/>
      <c r="F60" s="36"/>
      <c r="G60" s="36"/>
      <c r="H60" s="36"/>
      <c r="I60" s="293"/>
      <c r="J60" s="36"/>
      <c r="K60" s="36"/>
      <c r="L60" s="36"/>
      <c r="M60" s="36"/>
      <c r="N60" s="36"/>
      <c r="O60" s="36"/>
      <c r="P60" s="36"/>
      <c r="Q60" s="36"/>
      <c r="R60" s="36"/>
      <c r="S60" s="36"/>
    </row>
    <row r="61" spans="1:31" ht="15.75" thickTop="1"/>
    <row r="62" spans="1:31">
      <c r="A62" t="s">
        <v>284</v>
      </c>
      <c r="C62" t="s">
        <v>192</v>
      </c>
      <c r="E62" s="6" t="s">
        <v>241</v>
      </c>
      <c r="F62" s="6">
        <f>AC64</f>
        <v>3.950000274926424</v>
      </c>
      <c r="G62" s="6">
        <v>6.5</v>
      </c>
      <c r="H62" s="6">
        <v>5.4</v>
      </c>
      <c r="I62" s="200"/>
      <c r="J62" s="9"/>
      <c r="K62" s="200"/>
      <c r="L62" s="200"/>
      <c r="P62" t="s">
        <v>213</v>
      </c>
      <c r="U62" t="s">
        <v>238</v>
      </c>
      <c r="V62" t="s">
        <v>239</v>
      </c>
      <c r="Y62" t="s">
        <v>238</v>
      </c>
      <c r="Z62" t="s">
        <v>247</v>
      </c>
    </row>
    <row r="63" spans="1:31" ht="15.75" thickBot="1">
      <c r="A63" s="36"/>
      <c r="B63" s="36" t="s">
        <v>193</v>
      </c>
      <c r="C63" s="36" t="s">
        <v>236</v>
      </c>
      <c r="D63" s="36"/>
      <c r="E63" s="206" t="s">
        <v>22</v>
      </c>
      <c r="F63" s="206" t="s">
        <v>23</v>
      </c>
      <c r="G63" s="206" t="s">
        <v>24</v>
      </c>
      <c r="H63" s="36"/>
      <c r="I63" s="278" t="s">
        <v>207</v>
      </c>
      <c r="J63" s="279"/>
      <c r="K63" s="278" t="s">
        <v>207</v>
      </c>
      <c r="L63" s="278" t="s">
        <v>128</v>
      </c>
      <c r="Q63" s="276" t="s">
        <v>22</v>
      </c>
      <c r="R63" s="277" t="s">
        <v>23</v>
      </c>
      <c r="S63" s="277" t="s">
        <v>24</v>
      </c>
      <c r="U63" s="216" t="s">
        <v>22</v>
      </c>
      <c r="V63" s="217" t="s">
        <v>23</v>
      </c>
      <c r="W63" s="217" t="s">
        <v>24</v>
      </c>
      <c r="Y63" s="216" t="s">
        <v>22</v>
      </c>
      <c r="Z63" s="217" t="s">
        <v>23</v>
      </c>
      <c r="AA63" s="217" t="s">
        <v>24</v>
      </c>
      <c r="AC63" t="s">
        <v>126</v>
      </c>
    </row>
    <row r="64" spans="1:31" ht="15.75" thickTop="1">
      <c r="A64" s="284" t="str">
        <f>C16</f>
        <v>21704S004</v>
      </c>
      <c r="B64" s="284"/>
      <c r="C64" s="284" t="str">
        <f>C18</f>
        <v>21704M001</v>
      </c>
      <c r="E64" s="1">
        <f>(E8-E10)*1000</f>
        <v>3802.6999998837709</v>
      </c>
      <c r="F64" s="1">
        <f t="shared" ref="F64:G64" si="1">(F8-F10)*1000</f>
        <v>-18628.399999812245</v>
      </c>
      <c r="G64" s="1">
        <f t="shared" si="1"/>
        <v>39589.300000108778</v>
      </c>
      <c r="I64" s="280">
        <f>I16</f>
        <v>7327</v>
      </c>
      <c r="J64" s="281"/>
      <c r="K64" s="280">
        <f>I18</f>
        <v>7328</v>
      </c>
      <c r="L64" s="280" t="s">
        <v>194</v>
      </c>
      <c r="Q64" s="275">
        <f>(Q8-Q10)*1000</f>
        <v>3800.8079647550908</v>
      </c>
      <c r="R64" s="275">
        <f>(R8-R10)*1000</f>
        <v>-18628.210289032522</v>
      </c>
      <c r="S64" s="275">
        <f>(S8-S10)*1000</f>
        <v>39608.815834689063</v>
      </c>
      <c r="U64" s="1">
        <f>E64-Q64</f>
        <v>1.8920351286801633</v>
      </c>
      <c r="V64" s="1">
        <f>F64-R64</f>
        <v>-0.18971077972310013</v>
      </c>
      <c r="W64" s="1">
        <f>G64-S64</f>
        <v>-19.515834580284718</v>
      </c>
      <c r="Y64" s="1">
        <f>E64-E94</f>
        <v>-4.5000002719461918</v>
      </c>
      <c r="Z64" s="1">
        <f>F64-F94</f>
        <v>1.3000001199543476</v>
      </c>
      <c r="AA64" s="1">
        <f>G64-G94</f>
        <v>-25.399999693036079</v>
      </c>
      <c r="AC64" s="1">
        <f>_xlfn.STDEV.P(Y64:Y66)</f>
        <v>3.950000274926424</v>
      </c>
      <c r="AD64" s="1">
        <f>_xlfn.STDEV.P(Z64:Z66)</f>
        <v>2.5000001769512892</v>
      </c>
      <c r="AE64" s="1">
        <f>_xlfn.STDEV.P(AA64:AA66)</f>
        <v>2.9000001959502684</v>
      </c>
    </row>
    <row r="65" spans="1:31">
      <c r="A65" s="285"/>
      <c r="B65" s="285"/>
      <c r="C65" s="285"/>
      <c r="D65" s="53"/>
      <c r="E65" s="214">
        <f>SQRT(E9^2+E11^2+F62^2)</f>
        <v>3.9752361152413105</v>
      </c>
      <c r="F65" s="214">
        <f>SQRT(F9^2+F11^2+G62^2)</f>
        <v>6.5192024052026492</v>
      </c>
      <c r="G65" s="214">
        <f>SQRT(G9^2+G11^2+H62^2)</f>
        <v>5.6124860801609122</v>
      </c>
      <c r="H65" s="53"/>
      <c r="I65" s="282"/>
      <c r="J65" s="283"/>
      <c r="K65" s="282"/>
      <c r="L65" s="282"/>
      <c r="Q65" s="274">
        <f>E65</f>
        <v>3.9752361152413105</v>
      </c>
      <c r="R65" s="274">
        <f>F65</f>
        <v>6.5192024052026492</v>
      </c>
      <c r="S65" s="274">
        <f>G65</f>
        <v>5.6124860801609122</v>
      </c>
    </row>
    <row r="66" spans="1:31">
      <c r="A66" s="284" t="str">
        <f>C12</f>
        <v>KOGL</v>
      </c>
      <c r="B66" s="284"/>
      <c r="C66" s="284" t="str">
        <f>C18</f>
        <v>21704M001</v>
      </c>
      <c r="E66" s="1">
        <f>(E12-E10)*1000</f>
        <v>-20208.699999842793</v>
      </c>
      <c r="F66" s="1">
        <f t="shared" ref="F66:G66" si="2">(F12-F10)*1000</f>
        <v>-21010.400000028312</v>
      </c>
      <c r="G66" s="1">
        <f t="shared" si="2"/>
        <v>12964.399999938905</v>
      </c>
      <c r="I66" s="280">
        <f>I20</f>
        <v>7308</v>
      </c>
      <c r="J66" s="281"/>
      <c r="K66" s="280">
        <f>I18</f>
        <v>7328</v>
      </c>
      <c r="L66" s="280" t="s">
        <v>194</v>
      </c>
      <c r="N66" t="s">
        <v>196</v>
      </c>
      <c r="Q66" s="275">
        <f>(Q12-Q10)*1000</f>
        <v>-20208.501566950243</v>
      </c>
      <c r="R66" s="275">
        <f>(R12-R10)*1000</f>
        <v>-21011.70231989447</v>
      </c>
      <c r="S66" s="275">
        <f>(S12-S10)*1000</f>
        <v>12982.16484616554</v>
      </c>
      <c r="U66" s="1">
        <f>E66-Q66</f>
        <v>-0.19843289255004493</v>
      </c>
      <c r="V66" s="1">
        <f>F66-R66</f>
        <v>1.3023198661576316</v>
      </c>
      <c r="W66" s="1">
        <f>G66-S66</f>
        <v>-17.7648462266352</v>
      </c>
      <c r="Y66" s="1">
        <f>E66-E100</f>
        <v>3.4000002779066563</v>
      </c>
      <c r="Z66" s="1">
        <f>F66-F100</f>
        <v>-3.7000002339482307</v>
      </c>
      <c r="AA66" s="1">
        <f>G66-G100</f>
        <v>-31.200000084936619</v>
      </c>
    </row>
    <row r="67" spans="1:31">
      <c r="A67" s="285"/>
      <c r="B67" s="285"/>
      <c r="C67" s="285"/>
      <c r="D67" s="53"/>
      <c r="E67" s="214">
        <f>SQRT(E11^2+E13^2+F62^2)</f>
        <v>3.9601139089575219</v>
      </c>
      <c r="F67" s="214">
        <f t="shared" ref="F67:G67" si="3">SQRT(F11^2+F13^2+G62^2)</f>
        <v>6.5138314377945026</v>
      </c>
      <c r="G67" s="214">
        <f t="shared" si="3"/>
        <v>5.801723881744115</v>
      </c>
      <c r="H67" s="53"/>
      <c r="I67" s="282"/>
      <c r="J67" s="283"/>
      <c r="K67" s="282"/>
      <c r="L67" s="282"/>
      <c r="Q67" s="274">
        <f>E67</f>
        <v>3.9601139089575219</v>
      </c>
      <c r="R67" s="274">
        <f>F67</f>
        <v>6.5138314377945026</v>
      </c>
      <c r="S67" s="274">
        <f>G67</f>
        <v>5.801723881744115</v>
      </c>
    </row>
    <row r="69" spans="1:31">
      <c r="E69" s="6" t="s">
        <v>241</v>
      </c>
      <c r="F69" s="6">
        <f>AC70</f>
        <v>1.299999887123704</v>
      </c>
      <c r="G69" s="6">
        <v>3.2</v>
      </c>
      <c r="H69" s="6">
        <v>3.7</v>
      </c>
    </row>
    <row r="70" spans="1:31">
      <c r="A70" s="284" t="str">
        <f>C16</f>
        <v>21704S004</v>
      </c>
      <c r="B70" s="284"/>
      <c r="C70" s="284" t="str">
        <f>C18</f>
        <v>21704M001</v>
      </c>
      <c r="E70" s="1">
        <f>(E16-E18)*1000</f>
        <v>3805.9000000357628</v>
      </c>
      <c r="F70" s="1">
        <f t="shared" ref="F70:G70" si="4">(F16-F18)*1000</f>
        <v>-18627.499999944121</v>
      </c>
      <c r="G70" s="1">
        <f t="shared" si="4"/>
        <v>39608.700000215322</v>
      </c>
      <c r="I70" s="280">
        <f>I16</f>
        <v>7327</v>
      </c>
      <c r="J70" s="281"/>
      <c r="K70" s="280">
        <f>I18</f>
        <v>7328</v>
      </c>
      <c r="L70" s="280" t="s">
        <v>197</v>
      </c>
      <c r="Q70" s="275">
        <f>(Q16-Q18)*1000</f>
        <v>3804.9743540028194</v>
      </c>
      <c r="R70" s="275">
        <f>(R16-R18)*1000</f>
        <v>-18628.087005634305</v>
      </c>
      <c r="S70" s="275">
        <f>(S16-S18)*1000</f>
        <v>39608.074483207252</v>
      </c>
      <c r="U70" s="1">
        <f>E70-Q70</f>
        <v>0.92564603294340486</v>
      </c>
      <c r="V70" s="1">
        <f>F70-R70</f>
        <v>0.58700569018401438</v>
      </c>
      <c r="W70" s="1">
        <f>G70-S70</f>
        <v>0.625517008069437</v>
      </c>
      <c r="Y70" s="1">
        <f>E70-E94</f>
        <v>-1.3000001199543476</v>
      </c>
      <c r="Z70" s="1">
        <f>F70-F94</f>
        <v>2.199999988079071</v>
      </c>
      <c r="AA70" s="1">
        <f>G70-G94</f>
        <v>-5.9999995864927769</v>
      </c>
      <c r="AC70" s="1">
        <f>_xlfn.STDEV.P(Y70,Y74)</f>
        <v>1.299999887123704</v>
      </c>
      <c r="AD70" s="1">
        <f>_xlfn.STDEV.P(Z70,Z74)</f>
        <v>0.80000003799796204</v>
      </c>
      <c r="AE70" s="1">
        <f>_xlfn.STDEV.P(AA70,AA74)</f>
        <v>0.9999999310821307</v>
      </c>
    </row>
    <row r="71" spans="1:31">
      <c r="A71" s="285"/>
      <c r="B71" s="285"/>
      <c r="C71" s="285"/>
      <c r="D71" s="53"/>
      <c r="E71" s="214">
        <f>SQRT(E19^2+E17^2+F$69^2)</f>
        <v>1.3747726017497013</v>
      </c>
      <c r="F71" s="214">
        <f>SQRT(F19^2+F17^2+G$69^2)</f>
        <v>3.2388269481403298</v>
      </c>
      <c r="G71" s="214">
        <f>SQRT(G19^2+G17^2+H$69^2)</f>
        <v>4.0037482438335203</v>
      </c>
      <c r="H71" s="53"/>
      <c r="I71" s="282"/>
      <c r="J71" s="283"/>
      <c r="K71" s="282"/>
      <c r="L71" s="282"/>
      <c r="Q71" s="274">
        <f>E71</f>
        <v>1.3747726017497013</v>
      </c>
      <c r="R71" s="274">
        <f>F71</f>
        <v>3.2388269481403298</v>
      </c>
      <c r="S71" s="274">
        <f>G71</f>
        <v>4.0037482438335203</v>
      </c>
    </row>
    <row r="72" spans="1:31">
      <c r="A72" s="284" t="str">
        <f>C20</f>
        <v xml:space="preserve"> 21704S002</v>
      </c>
      <c r="B72" s="284"/>
      <c r="C72" s="284" t="str">
        <f>C18</f>
        <v>21704M001</v>
      </c>
      <c r="E72" s="1">
        <f>(E20-E18)*1000</f>
        <v>-78899.19999986887</v>
      </c>
      <c r="F72" s="1">
        <f t="shared" ref="F72:G72" si="5">(F20-F18)*1000</f>
        <v>-71944.800000172108</v>
      </c>
      <c r="G72" s="1">
        <f t="shared" si="5"/>
        <v>-4635.9000001102686</v>
      </c>
      <c r="I72" s="280">
        <f>I20</f>
        <v>7308</v>
      </c>
      <c r="J72" s="281"/>
      <c r="K72" s="280">
        <f>I18</f>
        <v>7328</v>
      </c>
      <c r="L72" s="280" t="s">
        <v>197</v>
      </c>
      <c r="N72" t="s">
        <v>196</v>
      </c>
      <c r="Q72" s="275">
        <f>(Q20-Q18)*1000</f>
        <v>-78896.506041012195</v>
      </c>
      <c r="R72" s="275">
        <f>(R20-R18)*1000</f>
        <v>-71946.872347815559</v>
      </c>
      <c r="S72" s="275">
        <f>(S20-S18)*1000</f>
        <v>-4639.0129088433214</v>
      </c>
      <c r="U72" s="1">
        <f>E72-Q72</f>
        <v>-2.6939588566747261</v>
      </c>
      <c r="V72" s="1">
        <f>F72-R72</f>
        <v>2.0723476434504846</v>
      </c>
      <c r="W72" s="1">
        <f>G72-S72</f>
        <v>3.1129087330527909</v>
      </c>
      <c r="Y72" s="1">
        <f>E72-E96</f>
        <v>-4.8999995924532413</v>
      </c>
      <c r="Z72" s="1">
        <f>F72-F96</f>
        <v>1.7999997362494469</v>
      </c>
      <c r="AA72" s="1">
        <f>G72-G96</f>
        <v>5.59999980032444</v>
      </c>
    </row>
    <row r="73" spans="1:31">
      <c r="A73" s="285"/>
      <c r="B73" s="285"/>
      <c r="C73" s="285"/>
      <c r="D73" s="53"/>
      <c r="E73" s="214">
        <f>SQRT(E21^2+E19^2+F$69^2)</f>
        <v>1.3747726017497013</v>
      </c>
      <c r="F73" s="214">
        <f>SQRT(F21^2+F19^2+G$69^2)</f>
        <v>3.2388269481403298</v>
      </c>
      <c r="G73" s="214">
        <f>SQRT(G21^2+G19^2+H$69^2)</f>
        <v>4.0037482438335203</v>
      </c>
      <c r="H73" s="53"/>
      <c r="I73" s="282"/>
      <c r="J73" s="283"/>
      <c r="K73" s="282"/>
      <c r="L73" s="282"/>
      <c r="Q73" s="274">
        <f>E73</f>
        <v>1.3747726017497013</v>
      </c>
      <c r="R73" s="274">
        <f>F73</f>
        <v>3.2388269481403298</v>
      </c>
      <c r="S73" s="274">
        <f>G73</f>
        <v>4.0037482438335203</v>
      </c>
    </row>
    <row r="74" spans="1:31">
      <c r="A74" s="284" t="str">
        <f>C22</f>
        <v>KOGL</v>
      </c>
      <c r="B74" s="284"/>
      <c r="C74" s="284" t="str">
        <f>C18</f>
        <v>21704M001</v>
      </c>
      <c r="E74" s="1">
        <f>(E22-E18)*1000</f>
        <v>-20216.000000014901</v>
      </c>
      <c r="F74" s="1">
        <f t="shared" ref="F74:G74" si="6">(F22-F18)*1000</f>
        <v>-21002.899999730289</v>
      </c>
      <c r="G74" s="1">
        <f t="shared" si="6"/>
        <v>12991.600000299513</v>
      </c>
      <c r="I74" s="280" t="str">
        <f>I22</f>
        <v>KOGL</v>
      </c>
      <c r="J74" s="281"/>
      <c r="K74" s="280">
        <f>I18</f>
        <v>7328</v>
      </c>
      <c r="L74" s="280" t="s">
        <v>197</v>
      </c>
      <c r="N74" t="s">
        <v>196</v>
      </c>
      <c r="Q74" s="275">
        <f>(Q22-Q18)*1000</f>
        <v>-20214.808481109154</v>
      </c>
      <c r="R74" s="275">
        <f>(R22-R18)*1000</f>
        <v>-21004.867850800991</v>
      </c>
      <c r="S74" s="275">
        <f>(S22-S18)*1000</f>
        <v>12989.294956080434</v>
      </c>
      <c r="U74" s="1">
        <f>E74-Q74</f>
        <v>-1.1915189057472162</v>
      </c>
      <c r="V74" s="1">
        <f>F74-R74</f>
        <v>1.9678510707017267</v>
      </c>
      <c r="W74" s="1">
        <f>G74-S74</f>
        <v>2.3050442190797185</v>
      </c>
      <c r="Y74" s="1">
        <f>E74-E100</f>
        <v>-3.8999998942017555</v>
      </c>
      <c r="Z74" s="1">
        <f>F74-F100</f>
        <v>3.8000000640749931</v>
      </c>
      <c r="AA74" s="1">
        <f>G74-G100</f>
        <v>-3.9999997243285179</v>
      </c>
    </row>
    <row r="75" spans="1:31">
      <c r="A75" s="285"/>
      <c r="B75" s="285"/>
      <c r="C75" s="285"/>
      <c r="D75" s="53"/>
      <c r="E75" s="214">
        <f>SQRT(E23^2+E19^2+F$69^2)</f>
        <v>1.3304133592690819</v>
      </c>
      <c r="F75" s="214">
        <f>SQRT(F23^2+F19^2+G$69^2)</f>
        <v>3.2280024783137948</v>
      </c>
      <c r="G75" s="214">
        <f>SQRT(G23^2+G19^2+H$69^2)</f>
        <v>4.2649736224272248</v>
      </c>
      <c r="H75" s="53"/>
      <c r="I75" s="282"/>
      <c r="J75" s="283"/>
      <c r="K75" s="282"/>
      <c r="L75" s="282"/>
      <c r="Q75" s="274">
        <f>E75</f>
        <v>1.3304133592690819</v>
      </c>
      <c r="R75" s="274">
        <f>F75</f>
        <v>3.2280024783137948</v>
      </c>
      <c r="S75" s="274">
        <f>G75</f>
        <v>4.2649736224272248</v>
      </c>
    </row>
    <row r="77" spans="1:31">
      <c r="E77" s="6" t="s">
        <v>241</v>
      </c>
      <c r="F77" s="6">
        <f>AC78</f>
        <v>2.2499999031424527</v>
      </c>
      <c r="G77" s="6">
        <v>3</v>
      </c>
      <c r="H77" s="6">
        <v>3.8</v>
      </c>
    </row>
    <row r="78" spans="1:31">
      <c r="A78" s="284" t="str">
        <f>C26</f>
        <v>21704S004</v>
      </c>
      <c r="B78" s="284"/>
      <c r="C78" s="284" t="str">
        <f>C28</f>
        <v>21704M001</v>
      </c>
      <c r="E78" s="1">
        <f>(E26-E28)*1000</f>
        <v>3805.3999999538064</v>
      </c>
      <c r="F78" s="1">
        <f t="shared" ref="F78:G78" si="7">(F26-F28)*1000</f>
        <v>-18625.499999616295</v>
      </c>
      <c r="G78" s="1">
        <f t="shared" si="7"/>
        <v>39610.700000077486</v>
      </c>
      <c r="I78" s="280">
        <f>I26</f>
        <v>7327</v>
      </c>
      <c r="J78" s="281"/>
      <c r="K78" s="280">
        <f>I28</f>
        <v>7328</v>
      </c>
      <c r="L78" s="280" t="s">
        <v>198</v>
      </c>
      <c r="Q78" s="275">
        <f>(Q26-Q28)*1000</f>
        <v>3803.5257486904684</v>
      </c>
      <c r="R78" s="275">
        <f>(R26-R28)*1000</f>
        <v>-18625.271313375808</v>
      </c>
      <c r="S78" s="275">
        <f>(S26-S28)*1000</f>
        <v>39610.919658059269</v>
      </c>
      <c r="U78" s="1">
        <f>E78-Q78</f>
        <v>1.8742512633380102</v>
      </c>
      <c r="V78" s="1">
        <f>F78-R78</f>
        <v>-0.22868624048714992</v>
      </c>
      <c r="W78" s="1">
        <f>G78-S78</f>
        <v>-0.21965798178280238</v>
      </c>
      <c r="Y78" s="1">
        <f>E78-E94</f>
        <v>-1.8000002019107342</v>
      </c>
      <c r="Z78" s="1">
        <f>F78-F94</f>
        <v>4.2000003159046173</v>
      </c>
      <c r="AA78" s="1">
        <f>G78-G94</f>
        <v>-3.9999997243285179</v>
      </c>
      <c r="AC78" s="1">
        <f>_xlfn.STDEV.P(Y78,Y82)</f>
        <v>2.2499999031424527</v>
      </c>
      <c r="AD78" s="1">
        <f>_xlfn.STDEV.P(Z78,Z82)</f>
        <v>0.25000027380883694</v>
      </c>
      <c r="AE78" s="1">
        <f>_xlfn.STDEV.P(AA78,AA82)</f>
        <v>1.8999997992068531</v>
      </c>
    </row>
    <row r="79" spans="1:31">
      <c r="A79" s="285"/>
      <c r="B79" s="285"/>
      <c r="C79" s="285"/>
      <c r="D79" s="53"/>
      <c r="E79" s="214">
        <f>SQRT(E27^2+E29^2+F$62^2)</f>
        <v>3.9752361152413105</v>
      </c>
      <c r="F79" s="214">
        <f t="shared" ref="F79:G79" si="8">SQRT(F27^2+F29^2+G$62^2)</f>
        <v>6.5192024052026492</v>
      </c>
      <c r="G79" s="214">
        <f t="shared" si="8"/>
        <v>5.6124860801609122</v>
      </c>
      <c r="H79" s="53"/>
      <c r="I79" s="282"/>
      <c r="J79" s="283"/>
      <c r="K79" s="282"/>
      <c r="L79" s="282"/>
      <c r="Q79" s="274">
        <f>E79</f>
        <v>3.9752361152413105</v>
      </c>
      <c r="R79" s="274">
        <f>F79</f>
        <v>6.5192024052026492</v>
      </c>
      <c r="S79" s="274">
        <f>G79</f>
        <v>5.6124860801609122</v>
      </c>
    </row>
    <row r="80" spans="1:31">
      <c r="A80" s="284" t="str">
        <f>C30</f>
        <v>KGNI</v>
      </c>
      <c r="B80" s="284"/>
      <c r="C80" s="284" t="str">
        <f>C28</f>
        <v>21704M001</v>
      </c>
      <c r="E80" s="1">
        <f>(E30-E28)*1000</f>
        <v>-7946.8999998643994</v>
      </c>
      <c r="F80" s="1">
        <f t="shared" ref="F80:G80" si="9">(F30-F28)*1000</f>
        <v>-13168.399999849498</v>
      </c>
      <c r="G80" s="1">
        <f t="shared" si="9"/>
        <v>19211.399999912828</v>
      </c>
      <c r="I80" s="280" t="str">
        <f>I30</f>
        <v>KGNI</v>
      </c>
      <c r="J80" s="281"/>
      <c r="K80" s="280">
        <f>I28</f>
        <v>7328</v>
      </c>
      <c r="L80" s="280" t="s">
        <v>198</v>
      </c>
      <c r="N80" t="s">
        <v>196</v>
      </c>
      <c r="Q80" s="275">
        <f>(Q30-Q28)*1000</f>
        <v>-7950.3949491753656</v>
      </c>
      <c r="R80" s="275">
        <f>(R30-R28)*1000</f>
        <v>-13167.35182918982</v>
      </c>
      <c r="S80" s="275">
        <f>(S30-S28)*1000</f>
        <v>19212.331553159271</v>
      </c>
      <c r="U80" s="1">
        <f>E80-Q80</f>
        <v>3.4949493109661489</v>
      </c>
      <c r="V80" s="1">
        <f>F80-R80</f>
        <v>-1.0481706596783624</v>
      </c>
      <c r="W80" s="1">
        <f>G80-S80</f>
        <v>-0.93155324644249049</v>
      </c>
      <c r="Y80" s="1">
        <f>E80-E98</f>
        <v>-43.599999975413084</v>
      </c>
      <c r="Z80" s="1">
        <f>F80-F98</f>
        <v>37.899999879300594</v>
      </c>
      <c r="AA80" s="1">
        <f>G80-G98</f>
        <v>36.100000143051147</v>
      </c>
    </row>
    <row r="81" spans="1:31">
      <c r="A81" s="285"/>
      <c r="B81" s="285"/>
      <c r="C81" s="285"/>
      <c r="D81" s="53"/>
      <c r="E81" s="214">
        <f>SQRT(E29^2+E31^2+F$77^2)</f>
        <v>2.2610837145362499</v>
      </c>
      <c r="F81" s="214">
        <f>SQRT(F29^2+F31^2+G$77^2)</f>
        <v>3.0215889859476257</v>
      </c>
      <c r="G81" s="214">
        <f>SQRT(G29^2+G31^2+H$77^2)</f>
        <v>4.0865633483405102</v>
      </c>
      <c r="H81" s="53"/>
      <c r="I81" s="282"/>
      <c r="J81" s="283"/>
      <c r="K81" s="282"/>
      <c r="L81" s="282"/>
      <c r="Q81" s="274">
        <f>E81</f>
        <v>2.2610837145362499</v>
      </c>
      <c r="R81" s="274">
        <f>F81</f>
        <v>3.0215889859476257</v>
      </c>
      <c r="S81" s="274">
        <f>G81</f>
        <v>4.0865633483405102</v>
      </c>
    </row>
    <row r="82" spans="1:31">
      <c r="A82" s="284" t="str">
        <f>C32</f>
        <v>KOGL</v>
      </c>
      <c r="B82" s="284"/>
      <c r="C82" s="284" t="str">
        <f>C28</f>
        <v>21704M001</v>
      </c>
      <c r="E82" s="1">
        <f>(E32-E28)*1000</f>
        <v>-20218.400000128895</v>
      </c>
      <c r="F82" s="1">
        <f t="shared" ref="F82:G82" si="10">(F32-F28)*1000</f>
        <v>-21003.000000026077</v>
      </c>
      <c r="G82" s="1">
        <f t="shared" si="10"/>
        <v>12995.399999897927</v>
      </c>
      <c r="I82" s="280" t="str">
        <f>I32</f>
        <v>KOGL</v>
      </c>
      <c r="J82" s="281"/>
      <c r="K82" s="280">
        <f>I28</f>
        <v>7328</v>
      </c>
      <c r="L82" s="280" t="s">
        <v>198</v>
      </c>
      <c r="N82" t="s">
        <v>196</v>
      </c>
      <c r="Q82" s="275">
        <f>(Q32-Q28)*1000</f>
        <v>-20218.133771841614</v>
      </c>
      <c r="R82" s="275">
        <f>(R32-R28)*1000</f>
        <v>-21004.131662329008</v>
      </c>
      <c r="S82" s="275">
        <f>(S32-S28)*1000</f>
        <v>12993.918814679868</v>
      </c>
      <c r="U82" s="1">
        <f>E82-Q82</f>
        <v>-0.26622828728068271</v>
      </c>
      <c r="V82" s="1">
        <f>F82-R82</f>
        <v>1.1316623029306356</v>
      </c>
      <c r="W82" s="1">
        <f>G82-S82</f>
        <v>1.4811852180591814</v>
      </c>
      <c r="Y82" s="1">
        <f>E82-E100</f>
        <v>-6.3000000081956387</v>
      </c>
      <c r="Z82" s="1">
        <f>F82-F100</f>
        <v>3.6999997682869434</v>
      </c>
      <c r="AA82" s="1">
        <f>G82-G100</f>
        <v>-0.20000012591481209</v>
      </c>
    </row>
    <row r="83" spans="1:31">
      <c r="A83" s="285"/>
      <c r="B83" s="285"/>
      <c r="C83" s="285"/>
      <c r="D83" s="53"/>
      <c r="E83" s="214">
        <f>SQRT(E33^2+E29^2+F$77^2)</f>
        <v>2.267707997988508</v>
      </c>
      <c r="F83" s="214">
        <f>SQRT(F33^2+F29^2+G$77^2)</f>
        <v>3.0298514815086235</v>
      </c>
      <c r="G83" s="214">
        <f>SQRT(G33^2+G29^2+H$77^2)</f>
        <v>4.3520110293977883</v>
      </c>
      <c r="H83" s="53"/>
      <c r="I83" s="282"/>
      <c r="J83" s="283"/>
      <c r="K83" s="282"/>
      <c r="L83" s="282"/>
      <c r="Q83" s="274">
        <f>E83</f>
        <v>2.267707997988508</v>
      </c>
      <c r="R83" s="274">
        <f>F83</f>
        <v>3.0298514815086235</v>
      </c>
      <c r="S83" s="274">
        <f>G83</f>
        <v>4.3520110293977883</v>
      </c>
    </row>
    <row r="85" spans="1:31">
      <c r="E85" s="6" t="s">
        <v>241</v>
      </c>
      <c r="F85" s="6">
        <f>AC86</f>
        <v>1.0499998461455107</v>
      </c>
      <c r="G85" s="6">
        <v>3</v>
      </c>
      <c r="H85" s="6">
        <v>3.8</v>
      </c>
    </row>
    <row r="86" spans="1:31">
      <c r="A86" s="284" t="str">
        <f>C36</f>
        <v>21704S004</v>
      </c>
      <c r="B86" s="284"/>
      <c r="C86" s="284" t="str">
        <f>C38</f>
        <v>21704M001</v>
      </c>
      <c r="E86" s="1">
        <f>(E36-E38)*1000</f>
        <v>3807.6999997720122</v>
      </c>
      <c r="F86" s="1">
        <f t="shared" ref="F86:G86" si="11">(F36-F38)*1000</f>
        <v>-18626.199999824166</v>
      </c>
      <c r="G86" s="1">
        <f t="shared" si="11"/>
        <v>39610.700000077486</v>
      </c>
      <c r="I86" s="280">
        <f>I36</f>
        <v>7327</v>
      </c>
      <c r="J86" s="281"/>
      <c r="K86" s="280">
        <f>I38</f>
        <v>7328</v>
      </c>
      <c r="L86" s="280" t="s">
        <v>199</v>
      </c>
      <c r="Q86" s="275">
        <f>(Q36-Q38)*1000</f>
        <v>3805.8461029492428</v>
      </c>
      <c r="R86" s="275">
        <f>(R36-R38)*1000</f>
        <v>-18625.938415161803</v>
      </c>
      <c r="S86" s="275">
        <f>(S36-S38)*1000</f>
        <v>39611.064334858973</v>
      </c>
      <c r="U86" s="1">
        <f>E86-Q86</f>
        <v>1.8538968227694568</v>
      </c>
      <c r="V86" s="1">
        <f>F86-R86</f>
        <v>-0.26158466236302047</v>
      </c>
      <c r="W86" s="1">
        <f>G86-S86</f>
        <v>-0.36433478148683207</v>
      </c>
      <c r="Y86" s="1">
        <f>E86-E94</f>
        <v>0.49999961629509926</v>
      </c>
      <c r="Z86" s="1">
        <f>F86-F94</f>
        <v>3.5000001080334187</v>
      </c>
      <c r="AA86" s="1">
        <f>G86-G94</f>
        <v>-3.9999997243285179</v>
      </c>
      <c r="AC86" s="1">
        <f>_xlfn.STDEV.P(Y86,Y90)</f>
        <v>1.0499998461455107</v>
      </c>
      <c r="AD86" s="1">
        <f>_xlfn.STDEV.P(Z86,Z90)</f>
        <v>0.24999980814754963</v>
      </c>
      <c r="AE86" s="1">
        <f>_xlfn.STDEV.P(AA86,AA90)</f>
        <v>2.4499997962266207</v>
      </c>
    </row>
    <row r="87" spans="1:31">
      <c r="A87" s="285"/>
      <c r="B87" s="285"/>
      <c r="C87" s="285"/>
      <c r="D87" s="53"/>
      <c r="E87" s="214">
        <f>SQRT(E37^2+E39^2+F$85^2)</f>
        <v>1.1412710795010956</v>
      </c>
      <c r="F87" s="214">
        <f>SQRT(F37^2+F39^2+G$85^2)</f>
        <v>3.0413812651491097</v>
      </c>
      <c r="G87" s="214">
        <f>SQRT(G37^2+G39^2+H$85^2)</f>
        <v>4.0963398296528082</v>
      </c>
      <c r="H87" s="53"/>
      <c r="I87" s="282"/>
      <c r="J87" s="283"/>
      <c r="K87" s="282"/>
      <c r="L87" s="282"/>
      <c r="Q87" s="274">
        <f>E87</f>
        <v>1.1412710795010956</v>
      </c>
      <c r="R87" s="274">
        <f>F87</f>
        <v>3.0413812651491097</v>
      </c>
      <c r="S87" s="274">
        <f>G87</f>
        <v>4.0963398296528082</v>
      </c>
    </row>
    <row r="88" spans="1:31">
      <c r="A88" s="284" t="str">
        <f>C40</f>
        <v>KGNI</v>
      </c>
      <c r="B88" s="284"/>
      <c r="C88" s="284" t="str">
        <f>C38</f>
        <v>21704M001</v>
      </c>
      <c r="E88" s="1">
        <f>(E40-E38)*1000</f>
        <v>-7944.3999999202788</v>
      </c>
      <c r="F88" s="1">
        <f t="shared" ref="F88:G88" si="12">(F40-F38)*1000</f>
        <v>-13167.799999937415</v>
      </c>
      <c r="G88" s="1">
        <f t="shared" si="12"/>
        <v>19211.999999824911</v>
      </c>
      <c r="I88" s="280" t="str">
        <f>I40</f>
        <v>KGNI</v>
      </c>
      <c r="J88" s="281"/>
      <c r="K88" s="280">
        <f>I38</f>
        <v>7328</v>
      </c>
      <c r="L88" s="280" t="s">
        <v>199</v>
      </c>
      <c r="N88" t="s">
        <v>196</v>
      </c>
      <c r="Q88" s="275">
        <f>(Q40-Q38)*1000</f>
        <v>-7944.9895405106863</v>
      </c>
      <c r="R88" s="275">
        <f>(R40-R38)*1000</f>
        <v>-13168.287068057563</v>
      </c>
      <c r="S88" s="275">
        <f>(S40-S38)*1000</f>
        <v>19211.527261085332</v>
      </c>
      <c r="U88" s="1">
        <f>E88-Q88</f>
        <v>0.58954059040752327</v>
      </c>
      <c r="V88" s="1">
        <f>F88-R88</f>
        <v>0.48706812014825118</v>
      </c>
      <c r="W88" s="1">
        <f>G88-S88</f>
        <v>0.47273873957965407</v>
      </c>
      <c r="Y88" s="1">
        <f>E88-E98</f>
        <v>-41.100000031292439</v>
      </c>
      <c r="Z88" s="1">
        <f>F88-F98</f>
        <v>38.499999791383743</v>
      </c>
      <c r="AA88" s="1">
        <f>G88-G98</f>
        <v>36.700000055134296</v>
      </c>
    </row>
    <row r="89" spans="1:31">
      <c r="A89" s="285"/>
      <c r="B89" s="285"/>
      <c r="C89" s="285"/>
      <c r="D89" s="53"/>
      <c r="E89" s="214">
        <f>SQRT(E39^2+E41^2+F$85^2)</f>
        <v>1.0735453771991179</v>
      </c>
      <c r="F89" s="214">
        <f>SQRT(F39^2+F41^2+G$85^2)</f>
        <v>3.0215889859476257</v>
      </c>
      <c r="G89" s="214">
        <f>SQRT(G39^2+G41^2+H$85^2)</f>
        <v>4.0865633483405102</v>
      </c>
      <c r="H89" s="53"/>
      <c r="I89" s="282"/>
      <c r="J89" s="283"/>
      <c r="K89" s="282"/>
      <c r="L89" s="282"/>
      <c r="Q89" s="274">
        <f>E89</f>
        <v>1.0735453771991179</v>
      </c>
      <c r="R89" s="274">
        <f>F89</f>
        <v>3.0215889859476257</v>
      </c>
      <c r="S89" s="274">
        <f>G89</f>
        <v>4.0865633483405102</v>
      </c>
    </row>
    <row r="90" spans="1:31">
      <c r="A90" s="284" t="str">
        <f>C42</f>
        <v>KOGL</v>
      </c>
      <c r="B90" s="284"/>
      <c r="C90" s="284" t="str">
        <f>C38</f>
        <v>21704M001</v>
      </c>
      <c r="E90" s="1">
        <f>(E42-E38)*1000</f>
        <v>-20213.700000196695</v>
      </c>
      <c r="F90" s="1">
        <f t="shared" ref="F90:G90" si="13">(F42-F38)*1000</f>
        <v>-21002.700000070035</v>
      </c>
      <c r="G90" s="1">
        <f t="shared" si="13"/>
        <v>12996.499999891967</v>
      </c>
      <c r="I90" s="280" t="str">
        <f>I42</f>
        <v>KOGL</v>
      </c>
      <c r="J90" s="281"/>
      <c r="K90" s="280">
        <f>I38</f>
        <v>7328</v>
      </c>
      <c r="L90" s="280" t="s">
        <v>199</v>
      </c>
      <c r="N90" t="s">
        <v>196</v>
      </c>
      <c r="Q90" s="275">
        <f>(Q42-Q38)*1000</f>
        <v>-20213.362519384737</v>
      </c>
      <c r="R90" s="275">
        <f>(R42-R38)*1000</f>
        <v>-21003.867632487832</v>
      </c>
      <c r="S90" s="275">
        <f>(S42-S38)*1000</f>
        <v>12995.129367643542</v>
      </c>
      <c r="U90" s="1">
        <f>E90-Q90</f>
        <v>-0.33748081195881241</v>
      </c>
      <c r="V90" s="1">
        <f>F90-R90</f>
        <v>1.1676324177969946</v>
      </c>
      <c r="W90" s="1">
        <f>G90-S90</f>
        <v>1.370632248424954</v>
      </c>
      <c r="Y90" s="1">
        <f>E90-E100</f>
        <v>-1.6000000759959221</v>
      </c>
      <c r="Z90" s="1">
        <f>F90-F100</f>
        <v>3.9999997243285179</v>
      </c>
      <c r="AA90" s="1">
        <f>G90-G100</f>
        <v>0.89999986812472343</v>
      </c>
    </row>
    <row r="91" spans="1:31">
      <c r="A91" s="285"/>
      <c r="B91" s="285"/>
      <c r="C91" s="285"/>
      <c r="D91" s="53"/>
      <c r="E91" s="214">
        <f>SQRT(E43^2+E39^2+F$85^2)</f>
        <v>1.0874280099876019</v>
      </c>
      <c r="F91" s="214">
        <f>SQRT(F43^2+F39^2+G$85^2)</f>
        <v>3.0298514815086235</v>
      </c>
      <c r="G91" s="214">
        <f>SQRT(G43^2+G39^2+H$85^2)</f>
        <v>4.3520110293977883</v>
      </c>
      <c r="H91" s="53"/>
      <c r="I91" s="282"/>
      <c r="J91" s="283"/>
      <c r="K91" s="282"/>
      <c r="L91" s="282"/>
      <c r="Q91" s="274">
        <f>E91</f>
        <v>1.0874280099876019</v>
      </c>
      <c r="R91" s="274">
        <f>F91</f>
        <v>3.0298514815086235</v>
      </c>
      <c r="S91" s="274">
        <f>G91</f>
        <v>4.3520110293977883</v>
      </c>
    </row>
    <row r="93" spans="1:31">
      <c r="E93" s="6" t="s">
        <v>241</v>
      </c>
      <c r="F93" s="6">
        <f>AC86</f>
        <v>1.0499998461455107</v>
      </c>
      <c r="G93" s="6">
        <f>AD86</f>
        <v>0.24999980814754963</v>
      </c>
      <c r="H93" s="6">
        <f>AE86</f>
        <v>2.4499997962266207</v>
      </c>
    </row>
    <row r="94" spans="1:31">
      <c r="A94" s="284" t="str">
        <f>C46</f>
        <v>21704S004</v>
      </c>
      <c r="B94" s="284"/>
      <c r="C94" s="284" t="str">
        <f>C48</f>
        <v>21704M001</v>
      </c>
      <c r="E94" s="1">
        <f>(E46-E48)*1000</f>
        <v>3807.2000001557171</v>
      </c>
      <c r="F94" s="1">
        <f t="shared" ref="F94:G94" si="14">(F46-F48)*1000</f>
        <v>-18629.6999999322</v>
      </c>
      <c r="G94" s="1">
        <f t="shared" si="14"/>
        <v>39614.699999801815</v>
      </c>
      <c r="I94" s="280">
        <f>I46</f>
        <v>7327</v>
      </c>
      <c r="J94" s="281"/>
      <c r="K94" s="280">
        <f>I48</f>
        <v>7328</v>
      </c>
      <c r="L94" s="294" t="s">
        <v>246</v>
      </c>
      <c r="Q94" s="275">
        <f>(Q46-Q48)*1000</f>
        <v>3804.3698599293093</v>
      </c>
      <c r="R94" s="275">
        <f>(R46-R48)*1000</f>
        <v>-18628.754795943449</v>
      </c>
      <c r="S94" s="275">
        <f>(S46-S48)*1000</f>
        <v>39615.851516272873</v>
      </c>
      <c r="U94" s="1">
        <f>E94-Q94</f>
        <v>2.8301402264078206</v>
      </c>
      <c r="V94" s="1">
        <f>F94-R94</f>
        <v>-0.94520398875101819</v>
      </c>
      <c r="W94" s="1">
        <f>G94-S94</f>
        <v>-1.1515164710581303</v>
      </c>
      <c r="Y94" s="1"/>
      <c r="Z94" s="1"/>
      <c r="AA94" s="1"/>
      <c r="AC94" s="1"/>
      <c r="AD94" s="1"/>
      <c r="AE94" s="1"/>
    </row>
    <row r="95" spans="1:31">
      <c r="A95" s="285"/>
      <c r="B95" s="285"/>
      <c r="C95" s="285"/>
      <c r="D95" s="53"/>
      <c r="E95" s="214">
        <f>SQRT(E47^2+E49^2+F$93^2)</f>
        <v>1.1412710795010956</v>
      </c>
      <c r="F95" s="214">
        <f>SQRT(F47^2+F49^2+G$93^2)</f>
        <v>0.55901690857594966</v>
      </c>
      <c r="G95" s="214">
        <f>SQRT(G47^2+G49^2+H$93^2)</f>
        <v>2.8883384499588138</v>
      </c>
      <c r="H95" s="53"/>
      <c r="I95" s="282"/>
      <c r="J95" s="283"/>
      <c r="K95" s="282"/>
      <c r="L95" s="282"/>
      <c r="Q95" s="274">
        <f>E95</f>
        <v>1.1412710795010956</v>
      </c>
      <c r="R95" s="274">
        <f>F95</f>
        <v>0.55901690857594966</v>
      </c>
      <c r="S95" s="274">
        <f>G95</f>
        <v>2.8883384499588138</v>
      </c>
    </row>
    <row r="96" spans="1:31">
      <c r="A96" s="284" t="str">
        <f>C50</f>
        <v xml:space="preserve"> 21704S002</v>
      </c>
      <c r="B96" s="284"/>
      <c r="C96" s="284" t="str">
        <f>C48</f>
        <v>21704M001</v>
      </c>
      <c r="E96" s="1">
        <f>(E50-E48)*1000</f>
        <v>-78894.300000276417</v>
      </c>
      <c r="F96" s="1">
        <f t="shared" ref="F96:G96" si="15">(F50-F48)*1000</f>
        <v>-71946.599999908358</v>
      </c>
      <c r="G96" s="1">
        <f t="shared" si="15"/>
        <v>-4641.499999910593</v>
      </c>
      <c r="I96" s="280">
        <f>I50</f>
        <v>7308</v>
      </c>
      <c r="J96" s="281"/>
      <c r="K96" s="280">
        <f>I48</f>
        <v>7328</v>
      </c>
      <c r="L96" s="294" t="s">
        <v>246</v>
      </c>
      <c r="N96" t="s">
        <v>196</v>
      </c>
      <c r="Q96" s="275">
        <f>(Q50-Q48)*1000</f>
        <v>-78890.570121004042</v>
      </c>
      <c r="R96" s="275">
        <f>(R50-R48)*1000</f>
        <v>-71950.469516612095</v>
      </c>
      <c r="S96" s="275">
        <f>(S50-S48)*1000</f>
        <v>-4646.5780848464301</v>
      </c>
      <c r="U96" s="1">
        <f>E96-Q96</f>
        <v>-3.7298792723740917</v>
      </c>
      <c r="V96" s="1">
        <f>F96-R96</f>
        <v>3.8695167037367355</v>
      </c>
      <c r="W96" s="1">
        <f>G96-S96</f>
        <v>5.0780849358370688</v>
      </c>
      <c r="Y96" s="1"/>
      <c r="Z96" s="1"/>
      <c r="AA96" s="1"/>
    </row>
    <row r="97" spans="1:27">
      <c r="A97" s="285"/>
      <c r="B97" s="285"/>
      <c r="C97" s="285"/>
      <c r="D97" s="53"/>
      <c r="E97" s="214">
        <f>SQRT(E49^2+E51^2+F$93^2)</f>
        <v>1.1412710795010956</v>
      </c>
      <c r="F97" s="214">
        <f>SQRT(F49^2+F51^2+G$93^2)</f>
        <v>0.55901690857594966</v>
      </c>
      <c r="G97" s="214">
        <f>SQRT(G49^2+G51^2+H$93^2)</f>
        <v>2.8883384499588138</v>
      </c>
      <c r="H97" s="53"/>
      <c r="I97" s="282"/>
      <c r="J97" s="283"/>
      <c r="K97" s="282"/>
      <c r="L97" s="282"/>
      <c r="Q97" s="274">
        <f>E97</f>
        <v>1.1412710795010956</v>
      </c>
      <c r="R97" s="274">
        <f>F97</f>
        <v>0.55901690857594966</v>
      </c>
      <c r="S97" s="274">
        <f>G97</f>
        <v>2.8883384499588138</v>
      </c>
    </row>
    <row r="98" spans="1:27">
      <c r="A98" s="284" t="str">
        <f>C52</f>
        <v>KGNI</v>
      </c>
      <c r="B98" s="284"/>
      <c r="C98" s="284" t="str">
        <f>C48</f>
        <v>21704M001</v>
      </c>
      <c r="E98" s="1">
        <f>(E52-E48)*1000</f>
        <v>-7903.2999998889863</v>
      </c>
      <c r="F98" s="1">
        <f t="shared" ref="F98:G98" si="16">(F52-F48)*1000</f>
        <v>-13206.299999728799</v>
      </c>
      <c r="G98" s="1">
        <f t="shared" si="16"/>
        <v>19175.299999769777</v>
      </c>
      <c r="I98" s="280" t="str">
        <f>I52</f>
        <v>KGNI</v>
      </c>
      <c r="J98" s="281"/>
      <c r="K98" s="280">
        <f>I48</f>
        <v>7328</v>
      </c>
      <c r="L98" s="294" t="s">
        <v>246</v>
      </c>
      <c r="N98" t="s">
        <v>196</v>
      </c>
      <c r="Q98" s="275">
        <f>(Q52-Q48)*1000</f>
        <v>-7590.1710144260614</v>
      </c>
      <c r="R98" s="275">
        <f>(R52-R48)*1000</f>
        <v>-13474.947290896282</v>
      </c>
      <c r="S98" s="275">
        <f>(S52-S48)*1000</f>
        <v>18878.147959024103</v>
      </c>
      <c r="U98" s="1">
        <f>E98-Q98</f>
        <v>-313.1289854629249</v>
      </c>
      <c r="V98" s="1">
        <f>F98-R98</f>
        <v>268.64729116748276</v>
      </c>
      <c r="W98" s="1">
        <f>G98-S98</f>
        <v>297.15204074567373</v>
      </c>
      <c r="Y98" s="1"/>
      <c r="Z98" s="1"/>
      <c r="AA98" s="1"/>
    </row>
    <row r="99" spans="1:27">
      <c r="A99" s="285"/>
      <c r="B99" s="285"/>
      <c r="C99" s="285"/>
      <c r="D99" s="53"/>
      <c r="E99" s="214">
        <f>SQRT(E53^2+E49^2+F$93^2)</f>
        <v>1.0735453771991179</v>
      </c>
      <c r="F99" s="214">
        <f>SQRT(F53^2+F49^2+G$93^2)</f>
        <v>0.43874811005155523</v>
      </c>
      <c r="G99" s="214">
        <f>SQRT(G53^2+G49^2+H$93^2)</f>
        <v>2.8744562966777703</v>
      </c>
      <c r="H99" s="53"/>
      <c r="I99" s="282"/>
      <c r="J99" s="283"/>
      <c r="K99" s="282"/>
      <c r="L99" s="282"/>
      <c r="Q99" s="274">
        <f>E99</f>
        <v>1.0735453771991179</v>
      </c>
      <c r="R99" s="274">
        <f>F99</f>
        <v>0.43874811005155523</v>
      </c>
      <c r="S99" s="274">
        <f>G99</f>
        <v>2.8744562966777703</v>
      </c>
    </row>
    <row r="100" spans="1:27">
      <c r="A100" s="284" t="str">
        <f>C54</f>
        <v>KOGL</v>
      </c>
      <c r="B100" s="284"/>
      <c r="C100" s="284" t="str">
        <f>C48</f>
        <v>21704M001</v>
      </c>
      <c r="E100" s="1">
        <f>(E54-E48)*1000</f>
        <v>-20212.100000120699</v>
      </c>
      <c r="F100" s="1">
        <f t="shared" ref="F100:G100" si="17">(F54-F48)*1000</f>
        <v>-21006.699999794364</v>
      </c>
      <c r="G100" s="1">
        <f t="shared" si="17"/>
        <v>12995.600000023842</v>
      </c>
      <c r="I100" s="280" t="str">
        <f>I54</f>
        <v>KOGL</v>
      </c>
      <c r="J100" s="281"/>
      <c r="K100" s="280">
        <f>I48</f>
        <v>7328</v>
      </c>
      <c r="L100" s="294" t="s">
        <v>246</v>
      </c>
      <c r="N100" t="s">
        <v>196</v>
      </c>
      <c r="Q100" s="275">
        <f>(Q54-Q48)*1000</f>
        <v>-20212.824390511912</v>
      </c>
      <c r="R100" s="275">
        <f>(R54-R48)*1000</f>
        <v>-21007.220902882025</v>
      </c>
      <c r="S100" s="275">
        <f>(S54-S48)*1000</f>
        <v>12994.99373932868</v>
      </c>
      <c r="U100" s="1">
        <f>E100-Q100</f>
        <v>0.72439039121309179</v>
      </c>
      <c r="V100" s="1">
        <f>F100-R100</f>
        <v>0.52090308766128146</v>
      </c>
      <c r="W100" s="1">
        <f>G100-S100</f>
        <v>0.60626069516183634</v>
      </c>
      <c r="Y100" s="1"/>
      <c r="Z100" s="1"/>
      <c r="AA100" s="1"/>
    </row>
    <row r="101" spans="1:27">
      <c r="A101" s="285"/>
      <c r="B101" s="285"/>
      <c r="C101" s="285"/>
      <c r="D101" s="53"/>
      <c r="E101" s="214">
        <f>SQRT(E55^2+E49^2+F$93^2)</f>
        <v>1.0874280099876019</v>
      </c>
      <c r="F101" s="214">
        <f>SQRT(F55^2+F49^2+G$93^2)</f>
        <v>0.49244279269150809</v>
      </c>
      <c r="G101" s="214">
        <f>SQRT(G55^2+G49^2+H$93^2)</f>
        <v>3.240755930567818</v>
      </c>
      <c r="H101" s="53"/>
      <c r="I101" s="282"/>
      <c r="J101" s="283"/>
      <c r="K101" s="282"/>
      <c r="L101" s="282"/>
      <c r="Q101" s="274">
        <f>E101</f>
        <v>1.0874280099876019</v>
      </c>
      <c r="R101" s="274">
        <f>F101</f>
        <v>0.49244279269150809</v>
      </c>
      <c r="S101" s="274">
        <f>G101</f>
        <v>3.240755930567818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3D114-2A29-4F8F-B7A0-D6A3E5DB3A2F}">
  <dimension ref="A1:AH72"/>
  <sheetViews>
    <sheetView workbookViewId="0"/>
  </sheetViews>
  <sheetFormatPr defaultRowHeight="15"/>
  <cols>
    <col min="1" max="1" width="12" customWidth="1"/>
    <col min="2" max="2" width="4.28515625" customWidth="1"/>
    <col min="3" max="3" width="10.85546875" customWidth="1"/>
    <col min="4" max="4" width="8.5703125" customWidth="1"/>
    <col min="5" max="7" width="14.28515625" customWidth="1"/>
    <col min="9" max="9" width="9.140625" style="9"/>
  </cols>
  <sheetData>
    <row r="1" spans="1:34" ht="15.75" thickBot="1">
      <c r="C1" t="s">
        <v>178</v>
      </c>
      <c r="D1" t="s">
        <v>177</v>
      </c>
      <c r="E1" s="1"/>
      <c r="F1" s="1"/>
      <c r="G1" s="1"/>
      <c r="I1" s="200"/>
      <c r="J1" s="9"/>
      <c r="K1" s="200"/>
      <c r="L1" s="200"/>
      <c r="P1" s="249" t="s">
        <v>215</v>
      </c>
      <c r="W1" t="s">
        <v>216</v>
      </c>
      <c r="Y1" s="54" t="s">
        <v>217</v>
      </c>
      <c r="Z1" s="54" t="s">
        <v>218</v>
      </c>
      <c r="AA1" s="54"/>
      <c r="AF1" t="s">
        <v>223</v>
      </c>
    </row>
    <row r="2" spans="1:34">
      <c r="E2" s="1"/>
      <c r="F2" s="1"/>
      <c r="G2" s="1"/>
      <c r="I2" s="200"/>
      <c r="J2" s="9"/>
      <c r="K2" s="200"/>
      <c r="L2" s="200"/>
      <c r="P2" s="249"/>
      <c r="X2" s="2" t="s">
        <v>181</v>
      </c>
      <c r="Y2" s="2">
        <v>16.399999999999999</v>
      </c>
      <c r="Z2" s="2">
        <v>-24.3</v>
      </c>
      <c r="AA2" s="2" t="s">
        <v>219</v>
      </c>
      <c r="AB2" s="2">
        <f>RADIANS(Y2/3600)</f>
        <v>7.9509443701963883E-5</v>
      </c>
      <c r="AC2" s="2">
        <f>RADIANS(Z2/3600)</f>
        <v>-1.1780972450961724E-4</v>
      </c>
      <c r="AD2" s="2" t="s">
        <v>220</v>
      </c>
      <c r="AF2" s="17">
        <v>1</v>
      </c>
      <c r="AG2" s="18">
        <v>0</v>
      </c>
      <c r="AH2" s="19">
        <f>-AF4</f>
        <v>24.3</v>
      </c>
    </row>
    <row r="3" spans="1:34">
      <c r="E3" s="1"/>
      <c r="F3" s="1"/>
      <c r="G3" s="1"/>
      <c r="I3" s="200"/>
      <c r="J3" s="9"/>
      <c r="K3" s="200"/>
      <c r="L3" s="200"/>
      <c r="P3" s="249"/>
      <c r="X3" s="2" t="s">
        <v>260</v>
      </c>
      <c r="Y3" s="2">
        <v>11.4</v>
      </c>
      <c r="Z3" s="2">
        <v>-17.399999999999999</v>
      </c>
      <c r="AA3" s="2" t="s">
        <v>219</v>
      </c>
      <c r="AB3" s="2">
        <f t="shared" ref="AB3:AC5" si="0">RADIANS(Y3/3600)</f>
        <v>5.5268759646487099E-5</v>
      </c>
      <c r="AC3" s="2">
        <f t="shared" si="0"/>
        <v>-8.4357580513059246E-5</v>
      </c>
      <c r="AD3" s="2" t="s">
        <v>220</v>
      </c>
      <c r="AF3" s="20">
        <v>0</v>
      </c>
      <c r="AG3" s="2">
        <v>1</v>
      </c>
      <c r="AH3" s="21">
        <f>-AG4</f>
        <v>-16.399999999999999</v>
      </c>
    </row>
    <row r="4" spans="1:34" ht="15.75" thickBot="1">
      <c r="E4" s="1"/>
      <c r="F4" s="1"/>
      <c r="G4" s="1"/>
      <c r="I4" s="200"/>
      <c r="J4" s="9"/>
      <c r="K4" s="200"/>
      <c r="L4" s="200"/>
      <c r="P4" s="249"/>
      <c r="X4" s="2" t="s">
        <v>221</v>
      </c>
      <c r="Y4" s="2">
        <v>-1.9</v>
      </c>
      <c r="Z4" s="2">
        <v>-9.3000000000000007</v>
      </c>
      <c r="AA4" s="2" t="s">
        <v>219</v>
      </c>
      <c r="AB4" s="2">
        <f t="shared" si="0"/>
        <v>-9.2114599410811831E-6</v>
      </c>
      <c r="AC4" s="2">
        <f t="shared" si="0"/>
        <v>-4.5087672343186846E-5</v>
      </c>
      <c r="AD4" s="2" t="s">
        <v>220</v>
      </c>
      <c r="AF4" s="22">
        <f>Z2</f>
        <v>-24.3</v>
      </c>
      <c r="AG4" s="23">
        <f>Y2</f>
        <v>16.399999999999999</v>
      </c>
      <c r="AH4" s="24">
        <v>1</v>
      </c>
    </row>
    <row r="5" spans="1:34">
      <c r="C5" t="s">
        <v>180</v>
      </c>
      <c r="D5" t="s">
        <v>221</v>
      </c>
      <c r="E5" s="1"/>
      <c r="F5" s="1"/>
      <c r="G5" s="1"/>
      <c r="I5" s="200"/>
      <c r="J5" s="9"/>
      <c r="K5" s="200"/>
      <c r="L5" s="200"/>
      <c r="Q5" t="s">
        <v>213</v>
      </c>
      <c r="U5" t="s">
        <v>221</v>
      </c>
      <c r="X5" s="2" t="s">
        <v>222</v>
      </c>
      <c r="Y5" s="2">
        <v>-4.5</v>
      </c>
      <c r="Z5" s="2">
        <v>13.6</v>
      </c>
      <c r="AA5" s="2" t="s">
        <v>219</v>
      </c>
      <c r="AB5" s="2">
        <f t="shared" si="0"/>
        <v>-2.1816615649929121E-5</v>
      </c>
      <c r="AC5" s="2">
        <f t="shared" si="0"/>
        <v>6.5934660630896893E-5</v>
      </c>
      <c r="AD5" s="2" t="s">
        <v>220</v>
      </c>
    </row>
    <row r="6" spans="1:34">
      <c r="A6" s="2"/>
      <c r="B6" s="2"/>
      <c r="C6" s="2" t="s">
        <v>179</v>
      </c>
      <c r="D6" s="2"/>
      <c r="E6" s="6"/>
      <c r="F6" s="6"/>
      <c r="G6" s="6"/>
      <c r="H6" s="2"/>
      <c r="I6" s="201" t="s">
        <v>184</v>
      </c>
      <c r="J6" s="194"/>
      <c r="K6" s="201"/>
      <c r="L6" s="201"/>
    </row>
    <row r="7" spans="1:34" ht="15.75" thickBot="1">
      <c r="A7" s="60"/>
      <c r="B7" s="60"/>
      <c r="C7" s="60"/>
      <c r="D7" s="60"/>
      <c r="E7" s="216" t="s">
        <v>22</v>
      </c>
      <c r="F7" s="217" t="s">
        <v>23</v>
      </c>
      <c r="G7" s="217" t="s">
        <v>24</v>
      </c>
      <c r="H7" s="218"/>
      <c r="I7" s="219"/>
      <c r="J7" s="113"/>
      <c r="K7" s="219" t="s">
        <v>183</v>
      </c>
      <c r="L7" s="219" t="s">
        <v>182</v>
      </c>
      <c r="O7" t="s">
        <v>214</v>
      </c>
      <c r="P7" t="s">
        <v>207</v>
      </c>
      <c r="Q7" s="216" t="s">
        <v>22</v>
      </c>
      <c r="R7" s="217" t="s">
        <v>23</v>
      </c>
      <c r="S7" s="217" t="s">
        <v>24</v>
      </c>
      <c r="U7" s="219" t="s">
        <v>183</v>
      </c>
      <c r="V7" s="219" t="s">
        <v>182</v>
      </c>
    </row>
    <row r="8" spans="1:34" ht="15.75" thickTop="1">
      <c r="A8" s="56" t="s">
        <v>252</v>
      </c>
      <c r="B8" s="56"/>
      <c r="C8" s="233" t="s">
        <v>257</v>
      </c>
      <c r="D8" s="56"/>
      <c r="E8" s="50">
        <f>H11mir!R24</f>
        <v>-3976129.9306999999</v>
      </c>
      <c r="F8" s="50">
        <f>H11mir!S24</f>
        <v>3377927.8454</v>
      </c>
      <c r="G8" s="50">
        <f>H11mir!T24</f>
        <v>3656753.8336</v>
      </c>
      <c r="H8" s="56"/>
      <c r="I8" s="9">
        <v>7336</v>
      </c>
      <c r="J8" s="56"/>
      <c r="K8" s="56">
        <v>1996</v>
      </c>
      <c r="L8" s="56">
        <v>275</v>
      </c>
      <c r="N8" t="str">
        <f>A8</f>
        <v>Miu11-CP0</v>
      </c>
      <c r="O8" t="str">
        <f>C8</f>
        <v>21739S001</v>
      </c>
      <c r="P8" s="248">
        <f>I8</f>
        <v>7336</v>
      </c>
      <c r="Q8" s="250">
        <f>H11mir!AX13</f>
        <v>64.040686586382989</v>
      </c>
      <c r="R8" s="250">
        <f>H11mir!AY13</f>
        <v>-0.30246934570179684</v>
      </c>
      <c r="S8" s="250">
        <f>H11mir!AZ13</f>
        <v>81.034391652693387</v>
      </c>
      <c r="U8" s="248">
        <f>K8</f>
        <v>1996</v>
      </c>
      <c r="V8" s="248">
        <f>L8</f>
        <v>275</v>
      </c>
    </row>
    <row r="9" spans="1:34">
      <c r="A9" s="2"/>
      <c r="B9" s="2"/>
      <c r="C9" s="2"/>
      <c r="D9" s="2"/>
      <c r="E9" s="6">
        <v>0.7</v>
      </c>
      <c r="F9" s="6">
        <v>0.8</v>
      </c>
      <c r="G9" s="6">
        <v>0.6</v>
      </c>
      <c r="H9" s="2"/>
      <c r="I9" s="194"/>
      <c r="J9" s="2"/>
      <c r="K9" s="2"/>
      <c r="L9" s="2"/>
      <c r="N9" t="s">
        <v>185</v>
      </c>
    </row>
    <row r="10" spans="1:34">
      <c r="A10" s="14" t="s">
        <v>139</v>
      </c>
      <c r="B10" s="14"/>
      <c r="C10" s="233" t="s">
        <v>256</v>
      </c>
      <c r="D10" s="2"/>
      <c r="E10" s="124">
        <f>H11mir!R28</f>
        <v>-3976161.6910999999</v>
      </c>
      <c r="F10" s="124">
        <f>H11mir!S28</f>
        <v>3377950.3618000001</v>
      </c>
      <c r="G10" s="124">
        <f>H11mir!T28</f>
        <v>3656687.2771000001</v>
      </c>
      <c r="H10" s="2"/>
      <c r="I10" s="9">
        <v>7337</v>
      </c>
      <c r="J10" s="2"/>
      <c r="K10" s="2">
        <v>1996</v>
      </c>
      <c r="L10" s="2">
        <v>275</v>
      </c>
      <c r="N10" t="str">
        <f>A10</f>
        <v>SLR-S2(RT)</v>
      </c>
      <c r="O10" t="str">
        <f>C10</f>
        <v>21739M001</v>
      </c>
      <c r="P10" s="248">
        <f>I10</f>
        <v>7337</v>
      </c>
      <c r="Q10" s="250">
        <f>H11mir!AX12</f>
        <v>32.280114217905357</v>
      </c>
      <c r="R10" s="250">
        <f>H11mir!AY12</f>
        <v>22.214893265299775</v>
      </c>
      <c r="S10" s="250">
        <f>H11mir!AZ12</f>
        <v>14.478166287876718</v>
      </c>
      <c r="U10" s="248">
        <f>K10</f>
        <v>1996</v>
      </c>
      <c r="V10" s="248">
        <f>L10</f>
        <v>275</v>
      </c>
    </row>
    <row r="11" spans="1:34">
      <c r="A11" s="2"/>
      <c r="B11" s="2"/>
      <c r="C11" s="2"/>
      <c r="D11" s="2"/>
      <c r="E11" s="2">
        <v>1.5</v>
      </c>
      <c r="F11" s="6">
        <v>0.3</v>
      </c>
      <c r="G11" s="6">
        <v>0.1</v>
      </c>
      <c r="H11" s="2"/>
      <c r="I11" s="194"/>
      <c r="J11" s="2"/>
      <c r="K11" s="2"/>
      <c r="L11" s="2"/>
      <c r="N11" t="s">
        <v>276</v>
      </c>
    </row>
    <row r="12" spans="1:34">
      <c r="A12" s="14" t="s">
        <v>32</v>
      </c>
      <c r="B12" s="2"/>
      <c r="C12" s="2" t="s">
        <v>251</v>
      </c>
      <c r="D12" s="2"/>
      <c r="E12" s="14">
        <f>H11mir!R26</f>
        <v>-3976171.8703000001</v>
      </c>
      <c r="F12" s="14">
        <f>H11mir!S26</f>
        <v>3377941.6754000001</v>
      </c>
      <c r="G12" s="14">
        <f>H11mir!T26</f>
        <v>3656691.9602000001</v>
      </c>
      <c r="H12" s="2"/>
      <c r="I12" s="9" t="s">
        <v>251</v>
      </c>
      <c r="J12" s="2"/>
      <c r="K12" s="2">
        <v>1996</v>
      </c>
      <c r="L12" s="2">
        <v>275</v>
      </c>
      <c r="N12" t="str">
        <f>A12</f>
        <v>SLR-CP0</v>
      </c>
      <c r="O12" t="str">
        <f>C12</f>
        <v>MIUL</v>
      </c>
      <c r="P12" s="248" t="str">
        <f>I12</f>
        <v>MIUL</v>
      </c>
      <c r="Q12" s="250">
        <f>H11mir!AX10</f>
        <v>22.101205817249273</v>
      </c>
      <c r="R12" s="250">
        <f>H11mir!AY10</f>
        <v>13.527977527640356</v>
      </c>
      <c r="S12" s="250">
        <f>H11mir!AZ10</f>
        <v>19.160989930029785</v>
      </c>
      <c r="U12" s="248">
        <f>K12</f>
        <v>1996</v>
      </c>
      <c r="V12" s="248">
        <f>L12</f>
        <v>275</v>
      </c>
    </row>
    <row r="13" spans="1:34">
      <c r="A13" s="2"/>
      <c r="B13" s="2"/>
      <c r="C13" s="2"/>
      <c r="D13" s="2"/>
      <c r="E13" s="6">
        <v>0.1</v>
      </c>
      <c r="F13" s="6">
        <v>0.1</v>
      </c>
      <c r="G13" s="6">
        <v>0.1</v>
      </c>
      <c r="H13" s="2"/>
      <c r="I13" s="194"/>
      <c r="J13" s="2"/>
      <c r="K13" s="2"/>
      <c r="L13" s="2"/>
      <c r="N13" t="s">
        <v>277</v>
      </c>
    </row>
    <row r="15" spans="1:34" ht="15.75" thickBot="1">
      <c r="Q15" s="216" t="s">
        <v>22</v>
      </c>
      <c r="R15" s="217" t="s">
        <v>23</v>
      </c>
      <c r="S15" s="217" t="s">
        <v>24</v>
      </c>
    </row>
    <row r="16" spans="1:34" ht="15.75" thickTop="1">
      <c r="A16" s="56" t="s">
        <v>252</v>
      </c>
      <c r="B16" s="56"/>
      <c r="C16" s="233" t="s">
        <v>257</v>
      </c>
      <c r="D16" s="56"/>
      <c r="E16" s="14">
        <f>H11mir!N24</f>
        <v>-3976129.9306999999</v>
      </c>
      <c r="F16" s="14">
        <f>H11mir!O24</f>
        <v>3377927.8470000001</v>
      </c>
      <c r="G16" s="14">
        <f>H11mir!P24</f>
        <v>3656753.8300999999</v>
      </c>
      <c r="H16" s="56"/>
      <c r="I16" s="9">
        <v>7336</v>
      </c>
      <c r="J16" s="56"/>
      <c r="K16" s="56">
        <v>1997</v>
      </c>
      <c r="L16" s="56">
        <v>275</v>
      </c>
      <c r="N16" t="str">
        <f>A16</f>
        <v>Miu11-CP0</v>
      </c>
      <c r="O16" t="str">
        <f>C16</f>
        <v>21739S001</v>
      </c>
      <c r="P16" s="248">
        <f>I16</f>
        <v>7336</v>
      </c>
      <c r="Q16" s="250">
        <f>H11mir!AT13</f>
        <v>64.040737666421379</v>
      </c>
      <c r="R16" s="250">
        <f>H11mir!AU13</f>
        <v>-0.30080687551691598</v>
      </c>
      <c r="S16" s="250">
        <f>H11mir!AV13</f>
        <v>81.030840091948392</v>
      </c>
      <c r="U16" s="248">
        <f>K16</f>
        <v>1997</v>
      </c>
      <c r="V16" s="248">
        <f>L16</f>
        <v>275</v>
      </c>
    </row>
    <row r="17" spans="1:22">
      <c r="A17" s="2"/>
      <c r="B17" s="2"/>
      <c r="C17" s="2"/>
      <c r="D17" s="2"/>
      <c r="E17" s="6">
        <v>0.7</v>
      </c>
      <c r="F17" s="6">
        <v>0.8</v>
      </c>
      <c r="G17" s="6">
        <v>0.6</v>
      </c>
      <c r="H17" s="2"/>
      <c r="I17" s="194"/>
      <c r="J17" s="2"/>
      <c r="K17" s="2"/>
      <c r="L17" s="2"/>
      <c r="N17" t="s">
        <v>185</v>
      </c>
    </row>
    <row r="18" spans="1:22">
      <c r="A18" s="14" t="s">
        <v>139</v>
      </c>
      <c r="B18" s="14"/>
      <c r="C18" s="233" t="s">
        <v>256</v>
      </c>
      <c r="D18" s="2"/>
      <c r="E18" s="124">
        <f>H11mir!N28</f>
        <v>-3976161.6919999998</v>
      </c>
      <c r="F18" s="124">
        <f>H11mir!O28</f>
        <v>3377950.3615999999</v>
      </c>
      <c r="G18" s="124">
        <f>H11mir!P28</f>
        <v>3656687.2766</v>
      </c>
      <c r="H18" s="2"/>
      <c r="I18" s="9">
        <v>7337</v>
      </c>
      <c r="J18" s="2"/>
      <c r="K18" s="56">
        <v>1997</v>
      </c>
      <c r="L18" s="2">
        <v>275</v>
      </c>
      <c r="N18" t="str">
        <f>A18</f>
        <v>SLR-S2(RT)</v>
      </c>
      <c r="O18" t="str">
        <f>C18</f>
        <v>21739M001</v>
      </c>
      <c r="P18" s="248">
        <f>I18</f>
        <v>7337</v>
      </c>
      <c r="Q18" s="250">
        <f>H11mir!AT12</f>
        <v>32.279291182308206</v>
      </c>
      <c r="R18" s="250">
        <f>H11mir!AU12</f>
        <v>22.214673965124682</v>
      </c>
      <c r="S18" s="250">
        <f>H11mir!AV12</f>
        <v>14.477651972954023</v>
      </c>
      <c r="U18" s="248">
        <f>K18</f>
        <v>1997</v>
      </c>
      <c r="V18" s="248">
        <f>L18</f>
        <v>275</v>
      </c>
    </row>
    <row r="19" spans="1:22">
      <c r="A19" s="2"/>
      <c r="B19" s="2"/>
      <c r="C19" s="2"/>
      <c r="D19" s="2"/>
      <c r="E19" s="2">
        <v>1.5</v>
      </c>
      <c r="F19" s="6">
        <v>0.3</v>
      </c>
      <c r="G19" s="6">
        <v>0.1</v>
      </c>
      <c r="H19" s="2"/>
      <c r="I19" s="194"/>
      <c r="J19" s="2"/>
      <c r="K19" s="2"/>
      <c r="L19" s="2"/>
      <c r="N19" t="s">
        <v>276</v>
      </c>
    </row>
    <row r="20" spans="1:22">
      <c r="A20" s="14" t="s">
        <v>32</v>
      </c>
      <c r="B20" s="2"/>
      <c r="C20" s="194" t="s">
        <v>251</v>
      </c>
      <c r="D20" s="2"/>
      <c r="E20" s="14">
        <f>H11mir!N26</f>
        <v>-3976171.8727000002</v>
      </c>
      <c r="F20" s="14">
        <f>H11mir!O26</f>
        <v>3377941.676</v>
      </c>
      <c r="G20" s="14">
        <f>H11mir!P26</f>
        <v>3656691.9608999998</v>
      </c>
      <c r="H20" s="2"/>
      <c r="I20" s="194" t="s">
        <v>251</v>
      </c>
      <c r="J20" s="2"/>
      <c r="K20" s="56">
        <v>1997</v>
      </c>
      <c r="L20" s="2">
        <v>275</v>
      </c>
      <c r="N20" t="str">
        <f>A20</f>
        <v>SLR-CP0</v>
      </c>
      <c r="O20" t="str">
        <f>C20</f>
        <v>MIUL</v>
      </c>
      <c r="P20" s="248" t="str">
        <f>I20</f>
        <v>MIUL</v>
      </c>
      <c r="Q20" s="250">
        <f>H11mir!AT10</f>
        <v>22.09877214922145</v>
      </c>
      <c r="R20" s="250">
        <f>H11mir!AU10</f>
        <v>13.528601557121631</v>
      </c>
      <c r="S20" s="250">
        <f>H11mir!AV10</f>
        <v>19.161604622757</v>
      </c>
      <c r="U20" s="248">
        <f>K20</f>
        <v>1997</v>
      </c>
      <c r="V20" s="248">
        <f>L20</f>
        <v>275</v>
      </c>
    </row>
    <row r="21" spans="1:22">
      <c r="A21" s="2"/>
      <c r="B21" s="2"/>
      <c r="C21" s="2"/>
      <c r="D21" s="2"/>
      <c r="E21" s="6">
        <v>0.1</v>
      </c>
      <c r="F21" s="6">
        <v>0.1</v>
      </c>
      <c r="G21" s="6">
        <v>0.1</v>
      </c>
      <c r="H21" s="2"/>
      <c r="I21" s="194"/>
      <c r="J21" s="2"/>
      <c r="K21" s="2"/>
      <c r="L21" s="2"/>
      <c r="N21" t="s">
        <v>277</v>
      </c>
    </row>
    <row r="23" spans="1:22" ht="15.75" thickBot="1">
      <c r="Q23" s="216" t="s">
        <v>22</v>
      </c>
      <c r="R23" s="217" t="s">
        <v>23</v>
      </c>
      <c r="S23" s="217" t="s">
        <v>24</v>
      </c>
    </row>
    <row r="24" spans="1:22" ht="15.75" thickTop="1">
      <c r="A24" s="56" t="s">
        <v>252</v>
      </c>
      <c r="B24" s="56"/>
      <c r="C24" s="56" t="s">
        <v>176</v>
      </c>
      <c r="D24" s="56"/>
      <c r="E24" s="14">
        <f>H11mir!J24</f>
        <v>-3976129.9311000002</v>
      </c>
      <c r="F24" s="14">
        <f>H11mir!K24</f>
        <v>3377927.8498</v>
      </c>
      <c r="G24" s="14">
        <f>H11mir!L24</f>
        <v>3656753.8291000002</v>
      </c>
      <c r="H24" s="56"/>
      <c r="I24" s="9">
        <v>7336</v>
      </c>
      <c r="J24" s="56"/>
      <c r="K24" s="56">
        <v>1998</v>
      </c>
      <c r="L24" s="56">
        <v>275</v>
      </c>
      <c r="N24" t="str">
        <f>A24</f>
        <v>Miu11-CP0</v>
      </c>
      <c r="O24" t="str">
        <f>C24</f>
        <v>21704S004</v>
      </c>
      <c r="P24" s="248">
        <f>I24</f>
        <v>7336</v>
      </c>
      <c r="Q24" s="250">
        <f>H11mir!AP13</f>
        <v>64.040233049534237</v>
      </c>
      <c r="R24" s="250">
        <f>H11mir!AQ13</f>
        <v>-0.29801637997307662</v>
      </c>
      <c r="S24" s="250">
        <f>H11mir!AR13</f>
        <v>81.029816130801606</v>
      </c>
      <c r="U24" s="248">
        <f>K24</f>
        <v>1998</v>
      </c>
      <c r="V24" s="248">
        <f>L24</f>
        <v>275</v>
      </c>
    </row>
    <row r="25" spans="1:22">
      <c r="A25" s="2"/>
      <c r="B25" s="2"/>
      <c r="C25" s="2"/>
      <c r="D25" s="2"/>
      <c r="E25" s="6">
        <v>0.7</v>
      </c>
      <c r="F25" s="6">
        <v>0.8</v>
      </c>
      <c r="G25" s="6">
        <v>0.6</v>
      </c>
      <c r="H25" s="2"/>
      <c r="I25" s="194"/>
      <c r="J25" s="2"/>
      <c r="K25" s="2"/>
      <c r="L25" s="2"/>
      <c r="N25" t="s">
        <v>185</v>
      </c>
    </row>
    <row r="26" spans="1:22">
      <c r="A26" s="14" t="s">
        <v>139</v>
      </c>
      <c r="B26" s="14"/>
      <c r="C26" s="2" t="s">
        <v>202</v>
      </c>
      <c r="D26" s="2"/>
      <c r="E26" s="124">
        <f>H11mir!J28</f>
        <v>-3976161.6921000001</v>
      </c>
      <c r="F26" s="124">
        <f>H11mir!K28</f>
        <v>3377950.3615999999</v>
      </c>
      <c r="G26" s="124">
        <f>H11mir!L28</f>
        <v>3656687.2760999999</v>
      </c>
      <c r="H26" s="2"/>
      <c r="I26" s="9">
        <v>7337</v>
      </c>
      <c r="J26" s="2"/>
      <c r="K26" s="56">
        <v>1998</v>
      </c>
      <c r="L26" s="2">
        <v>275</v>
      </c>
      <c r="N26" t="str">
        <f>A26</f>
        <v>SLR-S2(RT)</v>
      </c>
      <c r="O26" t="str">
        <f>C26</f>
        <v>21704M001</v>
      </c>
      <c r="P26" s="248">
        <f>I26</f>
        <v>7337</v>
      </c>
      <c r="Q26" s="250">
        <f>H11mir!AP12</f>
        <v>32.279175232354206</v>
      </c>
      <c r="R26" s="250">
        <f>H11mir!AQ12</f>
        <v>22.214641267360928</v>
      </c>
      <c r="S26" s="250">
        <f>H11mir!AR12</f>
        <v>14.477209834441229</v>
      </c>
      <c r="U26" s="248">
        <f>K26</f>
        <v>1998</v>
      </c>
      <c r="V26" s="248">
        <f>L26</f>
        <v>275</v>
      </c>
    </row>
    <row r="27" spans="1:22">
      <c r="A27" s="2"/>
      <c r="B27" s="2"/>
      <c r="C27" s="2"/>
      <c r="D27" s="2"/>
      <c r="E27" s="2">
        <v>1.5</v>
      </c>
      <c r="F27" s="6">
        <v>0.3</v>
      </c>
      <c r="G27" s="6">
        <v>0.1</v>
      </c>
      <c r="H27" s="2"/>
      <c r="I27" s="194"/>
      <c r="J27" s="2"/>
      <c r="K27" s="2"/>
      <c r="L27" s="2"/>
      <c r="N27" t="s">
        <v>185</v>
      </c>
    </row>
    <row r="28" spans="1:22">
      <c r="A28" s="14" t="s">
        <v>244</v>
      </c>
      <c r="B28" s="2"/>
      <c r="C28" s="2"/>
      <c r="D28" s="2"/>
      <c r="E28" s="14">
        <f>H11mir!J22</f>
        <v>-3976113.3095999998</v>
      </c>
      <c r="F28" s="14">
        <f>H11mir!K22</f>
        <v>3377937.4662000001</v>
      </c>
      <c r="G28" s="14">
        <f>H11mir!L22</f>
        <v>3656688.8394999998</v>
      </c>
      <c r="H28" s="2"/>
      <c r="I28" s="194"/>
      <c r="J28" s="2"/>
      <c r="K28" s="56">
        <v>1998</v>
      </c>
      <c r="L28" s="2">
        <v>275</v>
      </c>
      <c r="N28" t="str">
        <f>A28</f>
        <v>SLR-TGPS</v>
      </c>
      <c r="O28">
        <f>C28</f>
        <v>0</v>
      </c>
      <c r="P28" s="248">
        <f>I28</f>
        <v>0</v>
      </c>
      <c r="Q28" s="144">
        <f>H11mir!AP15</f>
        <v>80.660455790887227</v>
      </c>
      <c r="R28" s="144">
        <f>H11mir!AQ15</f>
        <v>7.934208163796586</v>
      </c>
      <c r="S28" s="144">
        <f>H11mir!AR15</f>
        <v>83.641419891852536</v>
      </c>
      <c r="U28" s="248">
        <f>K28</f>
        <v>1998</v>
      </c>
      <c r="V28" s="248">
        <f>L28</f>
        <v>275</v>
      </c>
    </row>
    <row r="29" spans="1:22">
      <c r="A29" s="2"/>
      <c r="B29" s="2"/>
      <c r="C29" s="2"/>
      <c r="D29" s="2"/>
      <c r="E29" s="6"/>
      <c r="F29" s="6"/>
      <c r="G29" s="87"/>
      <c r="H29" s="2"/>
      <c r="I29" s="194"/>
      <c r="J29" s="2"/>
      <c r="K29" s="2"/>
      <c r="L29" s="2"/>
      <c r="N29" t="s">
        <v>185</v>
      </c>
    </row>
    <row r="30" spans="1:22">
      <c r="A30" s="14" t="s">
        <v>32</v>
      </c>
      <c r="B30" s="2"/>
      <c r="C30" s="194" t="s">
        <v>251</v>
      </c>
      <c r="D30" s="2"/>
      <c r="E30" s="14">
        <f>H11mir!J26</f>
        <v>-3976171.875</v>
      </c>
      <c r="F30" s="14">
        <f>H11mir!K26</f>
        <v>3377941.6776999999</v>
      </c>
      <c r="G30" s="14">
        <f>H11mir!L26</f>
        <v>3656691.9622999998</v>
      </c>
      <c r="H30" s="2"/>
      <c r="I30" s="194" t="s">
        <v>251</v>
      </c>
      <c r="J30" s="2"/>
      <c r="K30" s="56">
        <v>1998</v>
      </c>
      <c r="L30" s="2">
        <v>275</v>
      </c>
      <c r="N30" t="str">
        <f>A30</f>
        <v>SLR-CP0</v>
      </c>
      <c r="O30" t="str">
        <f>C30</f>
        <v>MIUL</v>
      </c>
      <c r="P30" s="248" t="str">
        <f>I30</f>
        <v>MIUL</v>
      </c>
      <c r="Q30" s="250">
        <f>H11mir!AP10</f>
        <v>22.096492521522926</v>
      </c>
      <c r="R30" s="250">
        <f>H11mir!AQ10</f>
        <v>13.530275602802114</v>
      </c>
      <c r="S30" s="250">
        <f>H11mir!AR10</f>
        <v>19.162983342683653</v>
      </c>
      <c r="U30" s="248">
        <f>K30</f>
        <v>1998</v>
      </c>
      <c r="V30" s="248">
        <f>L30</f>
        <v>275</v>
      </c>
    </row>
    <row r="31" spans="1:22">
      <c r="A31" s="2"/>
      <c r="B31" s="2"/>
      <c r="C31" s="2"/>
      <c r="D31" s="2"/>
      <c r="E31" s="2">
        <v>1.5</v>
      </c>
      <c r="F31" s="6">
        <v>0.3</v>
      </c>
      <c r="G31" s="6">
        <v>0.1</v>
      </c>
      <c r="H31" s="2"/>
      <c r="I31" s="194"/>
      <c r="J31" s="2"/>
      <c r="K31" s="2"/>
      <c r="L31" s="2"/>
      <c r="N31" t="s">
        <v>185</v>
      </c>
    </row>
    <row r="34" spans="1:29">
      <c r="A34" s="56" t="s">
        <v>252</v>
      </c>
      <c r="B34" s="56"/>
      <c r="C34" s="56" t="s">
        <v>176</v>
      </c>
      <c r="D34" s="56"/>
      <c r="E34" s="124">
        <f>H11mir!F24</f>
        <v>-3976129.9319000002</v>
      </c>
      <c r="F34" s="124">
        <f>H11mir!G24</f>
        <v>3377927.8420000002</v>
      </c>
      <c r="G34" s="124">
        <f>H11mir!H24</f>
        <v>3656753.8265</v>
      </c>
      <c r="H34" s="56"/>
      <c r="I34" s="9">
        <v>7336</v>
      </c>
      <c r="J34" s="56"/>
      <c r="K34" s="56">
        <v>1999</v>
      </c>
      <c r="L34" s="56">
        <v>305</v>
      </c>
      <c r="N34" t="str">
        <f>A34</f>
        <v>Miu11-CP0</v>
      </c>
      <c r="O34" t="str">
        <f>C34</f>
        <v>21704S004</v>
      </c>
      <c r="P34" s="248">
        <f>I34</f>
        <v>7336</v>
      </c>
      <c r="Q34" s="250">
        <f>H11mir!AL13</f>
        <v>64.039490803065704</v>
      </c>
      <c r="R34" s="250">
        <f>H11mir!AM13</f>
        <v>-0.29869787068479692</v>
      </c>
      <c r="S34" s="250">
        <f>H11mir!AN13</f>
        <v>81.027211396535975</v>
      </c>
      <c r="U34" s="248">
        <f>K34</f>
        <v>1999</v>
      </c>
      <c r="V34" s="248">
        <f>L34</f>
        <v>305</v>
      </c>
    </row>
    <row r="35" spans="1:29">
      <c r="A35" s="2"/>
      <c r="B35" s="2"/>
      <c r="C35" s="2"/>
      <c r="D35" s="2"/>
      <c r="E35" s="6">
        <v>0.7</v>
      </c>
      <c r="F35" s="6">
        <v>0.8</v>
      </c>
      <c r="G35" s="6">
        <v>0.6</v>
      </c>
      <c r="H35" s="2"/>
      <c r="I35" s="194"/>
      <c r="J35" s="2"/>
      <c r="K35" s="2"/>
      <c r="L35" s="2"/>
    </row>
    <row r="36" spans="1:29">
      <c r="A36" s="14" t="s">
        <v>139</v>
      </c>
      <c r="B36" s="14"/>
      <c r="C36" s="2" t="s">
        <v>202</v>
      </c>
      <c r="D36" s="2"/>
      <c r="E36" s="124">
        <f>H11mir!F28</f>
        <v>-3976161.693</v>
      </c>
      <c r="F36" s="124">
        <f>H11mir!G28</f>
        <v>3377950.3604000001</v>
      </c>
      <c r="G36" s="124">
        <f>H11mir!H28</f>
        <v>3656687.2762000002</v>
      </c>
      <c r="H36" s="2"/>
      <c r="I36" s="9">
        <v>7337</v>
      </c>
      <c r="J36" s="2"/>
      <c r="K36" s="56">
        <v>1999</v>
      </c>
      <c r="L36" s="56">
        <v>305</v>
      </c>
      <c r="N36" t="str">
        <f>A36</f>
        <v>SLR-S2(RT)</v>
      </c>
      <c r="O36" t="str">
        <f>C36</f>
        <v>21704M001</v>
      </c>
      <c r="P36" s="248">
        <f>I36</f>
        <v>7337</v>
      </c>
      <c r="Q36" s="250">
        <f>H11mir!AL12</f>
        <v>32.278248038429261</v>
      </c>
      <c r="R36" s="250">
        <f>H11mir!AM12</f>
        <v>22.213460741318826</v>
      </c>
      <c r="S36" s="250">
        <f>H11mir!AN12</f>
        <v>14.477291502636788</v>
      </c>
      <c r="U36" s="248">
        <f>K36</f>
        <v>1999</v>
      </c>
      <c r="V36" s="248">
        <f>L36</f>
        <v>305</v>
      </c>
    </row>
    <row r="37" spans="1:29">
      <c r="A37" s="2"/>
      <c r="B37" s="2"/>
      <c r="C37" s="2"/>
      <c r="D37" s="2"/>
      <c r="E37" s="2">
        <v>1.5</v>
      </c>
      <c r="F37" s="6">
        <v>0.3</v>
      </c>
      <c r="G37" s="6">
        <v>0.1</v>
      </c>
      <c r="H37" s="2"/>
      <c r="I37" s="194"/>
      <c r="J37" s="2"/>
      <c r="K37" s="2"/>
      <c r="L37" s="2"/>
    </row>
    <row r="38" spans="1:29">
      <c r="A38" s="14" t="s">
        <v>32</v>
      </c>
      <c r="B38" s="2"/>
      <c r="C38" s="194" t="s">
        <v>251</v>
      </c>
      <c r="D38" s="2"/>
      <c r="E38" s="124">
        <f>H11mir!F26</f>
        <v>-3976171.8763000001</v>
      </c>
      <c r="F38" s="124">
        <f>H11mir!G26</f>
        <v>3377941.6787</v>
      </c>
      <c r="G38" s="124">
        <f>H11mir!H26</f>
        <v>3656691.9632000001</v>
      </c>
      <c r="H38" s="2"/>
      <c r="I38" s="194" t="s">
        <v>251</v>
      </c>
      <c r="J38" s="2"/>
      <c r="K38" s="56">
        <v>1999</v>
      </c>
      <c r="L38" s="56">
        <v>305</v>
      </c>
      <c r="N38" t="str">
        <f>A38</f>
        <v>SLR-CP0</v>
      </c>
      <c r="O38" t="str">
        <f>C38</f>
        <v>MIUL</v>
      </c>
      <c r="P38" s="248" t="str">
        <f>I38</f>
        <v>MIUL</v>
      </c>
      <c r="Q38" s="250">
        <f>H11mir!AL10</f>
        <v>22.095221464696259</v>
      </c>
      <c r="R38" s="250">
        <f>H11mir!AM10</f>
        <v>13.531355317423111</v>
      </c>
      <c r="S38" s="250">
        <f>H11mir!AN10</f>
        <v>19.163915346379046</v>
      </c>
      <c r="U38" s="248">
        <f>K38</f>
        <v>1999</v>
      </c>
      <c r="V38" s="248">
        <f>L38</f>
        <v>305</v>
      </c>
    </row>
    <row r="39" spans="1:29">
      <c r="A39" s="2"/>
      <c r="B39" s="2"/>
      <c r="C39" s="2"/>
      <c r="D39" s="2"/>
      <c r="E39" s="2">
        <v>1.5</v>
      </c>
      <c r="F39" s="6">
        <v>0.3</v>
      </c>
      <c r="G39" s="6">
        <v>0.1</v>
      </c>
      <c r="H39" s="2"/>
      <c r="I39" s="194"/>
      <c r="J39" s="2"/>
      <c r="K39" s="2"/>
      <c r="L39" s="2"/>
    </row>
    <row r="42" spans="1:29">
      <c r="C42" t="s">
        <v>191</v>
      </c>
      <c r="E42" s="1"/>
      <c r="F42" s="151" t="s">
        <v>22</v>
      </c>
      <c r="G42" s="151" t="s">
        <v>23</v>
      </c>
      <c r="H42" s="151" t="s">
        <v>24</v>
      </c>
      <c r="I42" s="200"/>
      <c r="J42" s="9"/>
      <c r="K42" s="152" t="s">
        <v>5</v>
      </c>
      <c r="L42" s="151" t="s">
        <v>4</v>
      </c>
      <c r="M42" s="151" t="s">
        <v>6</v>
      </c>
    </row>
    <row r="43" spans="1:29">
      <c r="E43" s="1"/>
      <c r="F43" s="169">
        <v>-10183.939594803798</v>
      </c>
      <c r="G43" s="169">
        <v>-8683.2971150349513</v>
      </c>
      <c r="H43" s="169">
        <v>4686.7650027938398</v>
      </c>
      <c r="I43" s="200"/>
      <c r="J43" s="9"/>
      <c r="K43" s="210">
        <v>13211.2</v>
      </c>
      <c r="L43" s="169">
        <v>2596.1</v>
      </c>
      <c r="M43" s="169">
        <v>4450</v>
      </c>
    </row>
    <row r="44" spans="1:29">
      <c r="A44" s="7"/>
      <c r="B44" s="7"/>
      <c r="C44" s="7"/>
      <c r="D44" s="7"/>
      <c r="E44" s="7"/>
      <c r="F44" s="8">
        <v>2</v>
      </c>
      <c r="G44" s="8">
        <v>2</v>
      </c>
      <c r="H44" s="8">
        <v>2</v>
      </c>
      <c r="I44" s="174"/>
      <c r="J44" s="7"/>
      <c r="K44" s="8">
        <v>2</v>
      </c>
      <c r="L44" s="8">
        <v>2</v>
      </c>
      <c r="M44" s="8">
        <v>2</v>
      </c>
      <c r="N44" s="7"/>
      <c r="O44" s="7"/>
      <c r="P44" s="7"/>
      <c r="Q44" s="7"/>
      <c r="R44" s="7"/>
      <c r="S44" s="7"/>
    </row>
    <row r="45" spans="1:29" ht="15.75" thickBot="1">
      <c r="A45" s="36"/>
      <c r="B45" s="36"/>
      <c r="C45" s="36"/>
      <c r="D45" s="36"/>
      <c r="E45" s="36"/>
      <c r="F45" s="36"/>
      <c r="G45" s="36"/>
      <c r="H45" s="36"/>
      <c r="I45" s="208"/>
      <c r="J45" s="36"/>
      <c r="K45" s="36"/>
      <c r="L45" s="36"/>
      <c r="M45" s="36"/>
      <c r="N45" s="36"/>
      <c r="O45" s="36"/>
      <c r="P45" s="36"/>
      <c r="Q45" s="36"/>
      <c r="R45" s="36"/>
      <c r="S45" s="36"/>
    </row>
    <row r="46" spans="1:29" ht="15.75" thickTop="1"/>
    <row r="47" spans="1:29">
      <c r="A47" t="s">
        <v>285</v>
      </c>
      <c r="C47" t="s">
        <v>192</v>
      </c>
      <c r="E47" s="6" t="s">
        <v>241</v>
      </c>
      <c r="F47" s="6">
        <f>AC49</f>
        <v>2.3942846178642867</v>
      </c>
      <c r="G47" s="6">
        <f>AD49</f>
        <v>0.19684261712245643</v>
      </c>
      <c r="H47" s="6">
        <f>AE49</f>
        <v>5.0528362533327709</v>
      </c>
      <c r="I47" s="200"/>
      <c r="J47" s="9"/>
      <c r="K47" s="200"/>
      <c r="L47" s="200"/>
      <c r="P47" t="s">
        <v>213</v>
      </c>
      <c r="U47" t="s">
        <v>238</v>
      </c>
      <c r="V47" t="s">
        <v>239</v>
      </c>
      <c r="Y47" t="s">
        <v>238</v>
      </c>
      <c r="Z47" t="s">
        <v>278</v>
      </c>
    </row>
    <row r="48" spans="1:29" ht="15.75" thickBot="1">
      <c r="A48" s="36"/>
      <c r="B48" s="36" t="s">
        <v>193</v>
      </c>
      <c r="C48" s="36" t="s">
        <v>236</v>
      </c>
      <c r="D48" s="36"/>
      <c r="E48" s="206" t="s">
        <v>22</v>
      </c>
      <c r="F48" s="206" t="s">
        <v>23</v>
      </c>
      <c r="G48" s="206" t="s">
        <v>24</v>
      </c>
      <c r="H48" s="36"/>
      <c r="I48" s="278" t="s">
        <v>207</v>
      </c>
      <c r="J48" s="279"/>
      <c r="K48" s="278" t="s">
        <v>207</v>
      </c>
      <c r="L48" s="278" t="s">
        <v>128</v>
      </c>
      <c r="Q48" s="276" t="s">
        <v>22</v>
      </c>
      <c r="R48" s="277" t="s">
        <v>23</v>
      </c>
      <c r="S48" s="277" t="s">
        <v>24</v>
      </c>
      <c r="U48" s="216" t="s">
        <v>22</v>
      </c>
      <c r="V48" s="217" t="s">
        <v>23</v>
      </c>
      <c r="W48" s="217" t="s">
        <v>24</v>
      </c>
      <c r="Y48" s="216" t="s">
        <v>22</v>
      </c>
      <c r="Z48" s="217" t="s">
        <v>23</v>
      </c>
      <c r="AA48" s="217" t="s">
        <v>24</v>
      </c>
      <c r="AC48" t="s">
        <v>126</v>
      </c>
    </row>
    <row r="49" spans="1:31" ht="15.75" thickTop="1">
      <c r="A49" s="284" t="str">
        <f>C16</f>
        <v>21739S001</v>
      </c>
      <c r="B49" s="284"/>
      <c r="C49" s="284" t="str">
        <f>C18</f>
        <v>21739M001</v>
      </c>
      <c r="E49" s="1">
        <f>(E8-E10)*1000</f>
        <v>31760.400000028312</v>
      </c>
      <c r="F49" s="1">
        <f>(F8-F10)*1000</f>
        <v>-22516.400000080466</v>
      </c>
      <c r="G49" s="1">
        <f>(G8-G10)*1000</f>
        <v>66556.499999947846</v>
      </c>
      <c r="I49" s="280">
        <f>I8</f>
        <v>7336</v>
      </c>
      <c r="J49" s="281"/>
      <c r="K49" s="280">
        <f>I10</f>
        <v>7337</v>
      </c>
      <c r="L49" s="280" t="s">
        <v>194</v>
      </c>
      <c r="Q49" s="275">
        <f>(Q8-Q10)*1000</f>
        <v>31760.572368477631</v>
      </c>
      <c r="R49" s="275">
        <f>(R8-R10)*1000</f>
        <v>-22517.362611001572</v>
      </c>
      <c r="S49" s="275">
        <f>(S8-S10)*1000</f>
        <v>66556.225364816666</v>
      </c>
      <c r="U49" s="1">
        <f>E49-Q49</f>
        <v>-0.17236844931903761</v>
      </c>
      <c r="V49" s="1">
        <f>F49-R49</f>
        <v>0.96261092110580648</v>
      </c>
      <c r="W49" s="1">
        <f>G49-S49</f>
        <v>0.27463513117982075</v>
      </c>
      <c r="Y49" s="1">
        <f>Q49-Q$69</f>
        <v>-0.67039615881003556</v>
      </c>
      <c r="Z49" s="1">
        <f>R49-R$69</f>
        <v>-5.2039989979493839</v>
      </c>
      <c r="AA49" s="1">
        <f>S49-S$69</f>
        <v>6.3054709174757591</v>
      </c>
      <c r="AC49" s="1">
        <f>_xlfn.STDEV.P(Y49:Y51)</f>
        <v>2.3942846178642867</v>
      </c>
      <c r="AD49" s="1">
        <f>_xlfn.STDEV.P(Z49:Z51)</f>
        <v>0.19684261712245643</v>
      </c>
      <c r="AE49" s="1">
        <f>_xlfn.STDEV.P(AA49:AA51)</f>
        <v>5.0528362533327709</v>
      </c>
    </row>
    <row r="50" spans="1:31">
      <c r="A50" s="285"/>
      <c r="B50" s="285"/>
      <c r="C50" s="285"/>
      <c r="D50" s="53"/>
      <c r="E50" s="214">
        <f>SQRT(E9^2+E11^2+F47^2)</f>
        <v>2.9107728924362228</v>
      </c>
      <c r="F50" s="214">
        <f>SQRT(F9^2+F11^2+G47^2)</f>
        <v>0.87678219411414726</v>
      </c>
      <c r="G50" s="214">
        <f>SQRT(G9^2+G11^2+H47^2)</f>
        <v>5.0893176559332547</v>
      </c>
      <c r="H50" s="53"/>
      <c r="I50" s="305"/>
      <c r="J50" s="283"/>
      <c r="K50" s="282"/>
      <c r="L50" s="282"/>
      <c r="Q50" s="274">
        <f>E50</f>
        <v>2.9107728924362228</v>
      </c>
      <c r="R50" s="274">
        <f>F50</f>
        <v>0.87678219411414726</v>
      </c>
      <c r="S50" s="274">
        <f>G50</f>
        <v>5.0893176559332547</v>
      </c>
    </row>
    <row r="51" spans="1:31">
      <c r="A51" s="284" t="str">
        <f>C12</f>
        <v>MIUL</v>
      </c>
      <c r="B51" s="284"/>
      <c r="C51" s="284" t="str">
        <f>C18</f>
        <v>21739M001</v>
      </c>
      <c r="E51" s="1">
        <f>(E12-E10)*1000</f>
        <v>-10179.20000012964</v>
      </c>
      <c r="F51" s="1">
        <f>(F12-F10)*1000</f>
        <v>-8686.4000000059605</v>
      </c>
      <c r="G51" s="1">
        <f t="shared" ref="G51:H51" si="1">(G12-G10)*1000</f>
        <v>4683.1000000238419</v>
      </c>
      <c r="H51" s="1">
        <f t="shared" si="1"/>
        <v>0</v>
      </c>
      <c r="I51" s="306" t="str">
        <f>I12</f>
        <v>MIUL</v>
      </c>
      <c r="J51" s="281"/>
      <c r="K51" s="280">
        <f>I10</f>
        <v>7337</v>
      </c>
      <c r="L51" s="280" t="s">
        <v>194</v>
      </c>
      <c r="N51" t="s">
        <v>196</v>
      </c>
      <c r="Q51" s="275">
        <f>(Q12-Q10)*1000</f>
        <v>-10178.908400656084</v>
      </c>
      <c r="R51" s="275">
        <f>(R12-R10)*1000</f>
        <v>-8686.9157376594194</v>
      </c>
      <c r="S51" s="275">
        <f>(S12-S10)*1000</f>
        <v>4682.8236421530673</v>
      </c>
      <c r="U51" s="1">
        <f>E51-Q51</f>
        <v>-0.29159947355583427</v>
      </c>
      <c r="V51" s="1">
        <f>F51-R51</f>
        <v>0.51573765345892753</v>
      </c>
      <c r="W51" s="1">
        <f>G51-S51</f>
        <v>0.27635787077451823</v>
      </c>
      <c r="Y51" s="1">
        <f>Q51-Q71</f>
        <v>4.1181730769185378</v>
      </c>
      <c r="Z51" s="1">
        <f>R51-R71</f>
        <v>-4.8103137637044711</v>
      </c>
      <c r="AA51" s="1">
        <f>S51-S71</f>
        <v>-3.8002015891897827</v>
      </c>
    </row>
    <row r="52" spans="1:31">
      <c r="A52" s="285"/>
      <c r="B52" s="285"/>
      <c r="C52" s="285"/>
      <c r="D52" s="53"/>
      <c r="E52" s="214">
        <f>SQRT(E11^2+E13^2+F47^2)</f>
        <v>2.8271184678646795</v>
      </c>
      <c r="F52" s="214">
        <f>SQRT(F11^2+F13^2+G47^2)</f>
        <v>0.3724876050496419</v>
      </c>
      <c r="G52" s="214">
        <f>SQRT(G11^2+G13^2+H47^2)</f>
        <v>5.0548149523987478</v>
      </c>
      <c r="H52" s="53"/>
      <c r="I52" s="282"/>
      <c r="J52" s="283"/>
      <c r="K52" s="282"/>
      <c r="L52" s="282"/>
      <c r="Q52" s="274">
        <f>E52</f>
        <v>2.8271184678646795</v>
      </c>
      <c r="R52" s="274">
        <f>F52</f>
        <v>0.3724876050496419</v>
      </c>
      <c r="S52" s="274">
        <f>G52</f>
        <v>5.0548149523987478</v>
      </c>
    </row>
    <row r="54" spans="1:31">
      <c r="E54" s="6" t="s">
        <v>241</v>
      </c>
      <c r="F54" s="6">
        <f>AC55</f>
        <v>1.1519105847582978</v>
      </c>
      <c r="G54" s="6">
        <f>AD55</f>
        <v>0.32237773468023079</v>
      </c>
      <c r="H54" s="6">
        <f>AE55</f>
        <v>2.9697095172282388</v>
      </c>
    </row>
    <row r="55" spans="1:31">
      <c r="A55" s="284" t="str">
        <f>C16</f>
        <v>21739S001</v>
      </c>
      <c r="B55" s="284"/>
      <c r="C55" s="284" t="str">
        <f>C18</f>
        <v>21739M001</v>
      </c>
      <c r="E55" s="1">
        <f>(E16-E18)*1000</f>
        <v>31761.299999896437</v>
      </c>
      <c r="F55" s="1">
        <f>(F16-F18)*1000</f>
        <v>-22514.599999878556</v>
      </c>
      <c r="G55" s="1">
        <f>(G16-G18)*1000</f>
        <v>66553.499999921769</v>
      </c>
      <c r="I55" s="280">
        <f>I16</f>
        <v>7336</v>
      </c>
      <c r="J55" s="281"/>
      <c r="K55" s="280">
        <f>I18</f>
        <v>7337</v>
      </c>
      <c r="L55" s="280" t="s">
        <v>197</v>
      </c>
      <c r="Q55" s="275">
        <f>(Q16-Q18)*1000</f>
        <v>31761.44648411317</v>
      </c>
      <c r="R55" s="275">
        <f>(R16-R18)*1000</f>
        <v>-22515.480840641598</v>
      </c>
      <c r="S55" s="275">
        <f>(S16-S18)*1000</f>
        <v>66553.188118994367</v>
      </c>
      <c r="U55" s="1">
        <f>E55-Q55</f>
        <v>-0.14648421673336998</v>
      </c>
      <c r="V55" s="1">
        <f>F55-R55</f>
        <v>0.88084076304221526</v>
      </c>
      <c r="W55" s="1">
        <f>G55-S55</f>
        <v>0.31188092740194406</v>
      </c>
      <c r="Y55" s="1">
        <f>Q55-Q69</f>
        <v>0.20371947672902024</v>
      </c>
      <c r="Z55" s="1">
        <f>R55-R69</f>
        <v>-3.3222286379750585</v>
      </c>
      <c r="AA55" s="1">
        <f>S55-S69</f>
        <v>3.2682250951766036</v>
      </c>
      <c r="AC55" s="1">
        <f>_xlfn.STDEV.P(Y55,Y57)</f>
        <v>1.1519105847582978</v>
      </c>
      <c r="AD55" s="1">
        <f>_xlfn.STDEV.P(Z55,Z57)</f>
        <v>0.32237773468023079</v>
      </c>
      <c r="AE55" s="1">
        <f>_xlfn.STDEV.P(AA55,AA57)</f>
        <v>2.9697095172282388</v>
      </c>
    </row>
    <row r="56" spans="1:31">
      <c r="A56" s="285"/>
      <c r="B56" s="285"/>
      <c r="C56" s="285"/>
      <c r="D56" s="53"/>
      <c r="E56" s="214">
        <f>SQRT(E19^2+E17^2+F$54^2)</f>
        <v>2.0166551503115757</v>
      </c>
      <c r="F56" s="214">
        <f>SQRT(F19^2+F17^2+G$54^2)</f>
        <v>0.91319625701026463</v>
      </c>
      <c r="G56" s="214">
        <f>SQRT(G19^2+G17^2+H$54^2)</f>
        <v>3.0313651407766731</v>
      </c>
      <c r="H56" s="53"/>
      <c r="I56" s="282"/>
      <c r="J56" s="283"/>
      <c r="K56" s="282"/>
      <c r="L56" s="282"/>
      <c r="Q56" s="274">
        <f>E56</f>
        <v>2.0166551503115757</v>
      </c>
      <c r="R56" s="274">
        <f>F56</f>
        <v>0.91319625701026463</v>
      </c>
      <c r="S56" s="274">
        <f>G56</f>
        <v>3.0313651407766731</v>
      </c>
    </row>
    <row r="57" spans="1:31">
      <c r="A57" s="284" t="str">
        <f>C20</f>
        <v>MIUL</v>
      </c>
      <c r="B57" s="284"/>
      <c r="C57" s="284" t="str">
        <f>C18</f>
        <v>21739M001</v>
      </c>
      <c r="E57" s="1">
        <f>(E20-E18)*1000</f>
        <v>-10180.700000375509</v>
      </c>
      <c r="F57" s="1">
        <f>(F20-F18)*1000</f>
        <v>-8685.5999999679625</v>
      </c>
      <c r="G57" s="1">
        <f>(G20-G18)*1000</f>
        <v>4684.2999998480082</v>
      </c>
      <c r="I57" s="280" t="str">
        <f>I20</f>
        <v>MIUL</v>
      </c>
      <c r="J57" s="281"/>
      <c r="K57" s="280">
        <f>I18</f>
        <v>7337</v>
      </c>
      <c r="L57" s="280" t="s">
        <v>197</v>
      </c>
      <c r="N57" t="s">
        <v>196</v>
      </c>
      <c r="Q57" s="275">
        <f>(Q20-Q18)*1000</f>
        <v>-10180.519033086757</v>
      </c>
      <c r="R57" s="275">
        <f>(R20-R18)*1000</f>
        <v>-8686.0724080030504</v>
      </c>
      <c r="S57" s="275">
        <f>(S20-S18)*1000</f>
        <v>4683.9526498029772</v>
      </c>
      <c r="U57" s="1">
        <f>E57-Q57</f>
        <v>-0.18096728875207191</v>
      </c>
      <c r="V57" s="1">
        <f>F57-R57</f>
        <v>0.47240803508793761</v>
      </c>
      <c r="W57" s="1">
        <f>G57-S57</f>
        <v>0.34735004503090749</v>
      </c>
      <c r="Y57" s="1">
        <f>Q57-Q71</f>
        <v>2.5075406462456158</v>
      </c>
      <c r="Z57" s="1">
        <f>R57-R71</f>
        <v>-3.9669841073355201</v>
      </c>
      <c r="AA57" s="1">
        <f>S57-S71</f>
        <v>-2.671193939279874</v>
      </c>
    </row>
    <row r="58" spans="1:31">
      <c r="A58" s="285"/>
      <c r="B58" s="285"/>
      <c r="C58" s="285"/>
      <c r="D58" s="53"/>
      <c r="E58" s="214">
        <f>SQRT(E21^2+E19^2+F$54^2)</f>
        <v>1.8939107675068019</v>
      </c>
      <c r="F58" s="214">
        <f>SQRT(F21^2+F19^2+G$54^2)</f>
        <v>0.45158321914964605</v>
      </c>
      <c r="G58" s="214">
        <f>SQRT(G21^2+G19^2+H$54^2)</f>
        <v>2.9730749430036201</v>
      </c>
      <c r="H58" s="53"/>
      <c r="I58" s="282"/>
      <c r="J58" s="283"/>
      <c r="K58" s="282"/>
      <c r="L58" s="282"/>
      <c r="Q58" s="274">
        <f>E58</f>
        <v>1.8939107675068019</v>
      </c>
      <c r="R58" s="274">
        <f>F58</f>
        <v>0.45158321914964605</v>
      </c>
      <c r="S58" s="274">
        <f>G58</f>
        <v>2.9730749430036201</v>
      </c>
    </row>
    <row r="60" spans="1:31">
      <c r="E60" s="6" t="s">
        <v>241</v>
      </c>
      <c r="F60" s="6">
        <f>AC61</f>
        <v>0.26440517906758032</v>
      </c>
      <c r="G60" s="6">
        <f>AD61</f>
        <v>0.88060266635784479</v>
      </c>
      <c r="H60" s="6">
        <f>AE61</f>
        <v>1.7683689805098766</v>
      </c>
    </row>
    <row r="61" spans="1:31">
      <c r="A61" s="284" t="str">
        <f>C24</f>
        <v>21704S004</v>
      </c>
      <c r="B61" s="284"/>
      <c r="C61" s="284" t="str">
        <f>C26</f>
        <v>21704M001</v>
      </c>
      <c r="E61" s="1">
        <f>(E24-E26)*1000</f>
        <v>31760.999999940395</v>
      </c>
      <c r="F61" s="1">
        <f>(F24-F26)*1000</f>
        <v>-22511.799999978393</v>
      </c>
      <c r="G61" s="1">
        <f>(G24-G26)*1000</f>
        <v>66553.000000305474</v>
      </c>
      <c r="I61" s="280">
        <f>I24</f>
        <v>7336</v>
      </c>
      <c r="J61" s="281"/>
      <c r="K61" s="280">
        <f>I26</f>
        <v>7337</v>
      </c>
      <c r="L61" s="280" t="s">
        <v>198</v>
      </c>
      <c r="Q61" s="275">
        <f>(Q24-Q26)*1000</f>
        <v>31761.05781718003</v>
      </c>
      <c r="R61" s="275">
        <f>(R24-R26)*1000</f>
        <v>-22512.657647334006</v>
      </c>
      <c r="S61" s="275">
        <f>(S24-S26)*1000</f>
        <v>66552.606296360376</v>
      </c>
      <c r="U61" s="1">
        <f>E61-Q61</f>
        <v>-5.7817239634459838E-2</v>
      </c>
      <c r="V61" s="1">
        <f>F61-R61</f>
        <v>0.8576473556131532</v>
      </c>
      <c r="W61" s="1">
        <f>G61-S61</f>
        <v>0.3937039450975135</v>
      </c>
      <c r="Y61" s="1">
        <f>Q61-Q69</f>
        <v>-0.18494745641146437</v>
      </c>
      <c r="Z61" s="1">
        <f>R61-R69</f>
        <v>-0.49903533038377645</v>
      </c>
      <c r="AA61" s="1">
        <f>S61-S69</f>
        <v>2.686402461185935</v>
      </c>
      <c r="AC61" s="1">
        <f>_xlfn.STDEV.P(Y61,Y65)</f>
        <v>0.26440517906758032</v>
      </c>
      <c r="AD61" s="1">
        <f>_xlfn.STDEV.P(Z61,Z65)</f>
        <v>0.88060266635784479</v>
      </c>
      <c r="AE61" s="1">
        <f>_xlfn.STDEV.P(AA61,AA65)</f>
        <v>1.7683689805098766</v>
      </c>
    </row>
    <row r="62" spans="1:31">
      <c r="A62" s="285"/>
      <c r="B62" s="285"/>
      <c r="C62" s="285"/>
      <c r="D62" s="53"/>
      <c r="E62" s="214">
        <f>SQRT(E25^2+E27^2+F$47^2)</f>
        <v>2.9107728924362228</v>
      </c>
      <c r="F62" s="214">
        <f>SQRT(F25^2+F27^2+G$47^2)</f>
        <v>0.87678219411414726</v>
      </c>
      <c r="G62" s="214">
        <f>SQRT(G25^2+G27^2+H$47^2)</f>
        <v>5.0893176559332547</v>
      </c>
      <c r="H62" s="53"/>
      <c r="I62" s="282"/>
      <c r="J62" s="283"/>
      <c r="K62" s="282"/>
      <c r="L62" s="282"/>
      <c r="Q62" s="274">
        <f>E62</f>
        <v>2.9107728924362228</v>
      </c>
      <c r="R62" s="274">
        <f>F62</f>
        <v>0.87678219411414726</v>
      </c>
      <c r="S62" s="274">
        <f>G62</f>
        <v>5.0893176559332547</v>
      </c>
    </row>
    <row r="63" spans="1:31">
      <c r="A63" s="284">
        <f>C28</f>
        <v>0</v>
      </c>
      <c r="B63" s="284"/>
      <c r="C63" s="284" t="str">
        <f>C26</f>
        <v>21704M001</v>
      </c>
      <c r="E63" s="1">
        <f>(E28-E26)*1000</f>
        <v>48382.500000298023</v>
      </c>
      <c r="F63" s="1">
        <f>(F28-F26)*1000</f>
        <v>-12895.399999804795</v>
      </c>
      <c r="G63" s="1">
        <f>(G28-G26)*1000</f>
        <v>1563.3999998681247</v>
      </c>
      <c r="I63" s="280">
        <f>I28</f>
        <v>0</v>
      </c>
      <c r="J63" s="281"/>
      <c r="K63" s="280">
        <f>I26</f>
        <v>7337</v>
      </c>
      <c r="L63" s="280" t="s">
        <v>198</v>
      </c>
      <c r="N63" t="s">
        <v>196</v>
      </c>
      <c r="Q63" s="275">
        <f>(Q28-Q26)*1000</f>
        <v>48381.280558533021</v>
      </c>
      <c r="R63" s="275">
        <f>(R28-R26)*1000</f>
        <v>-14280.433103564341</v>
      </c>
      <c r="S63" s="275">
        <f>(S28-S26)*1000</f>
        <v>69164.210057411314</v>
      </c>
      <c r="U63" s="1">
        <f>E63-Q63</f>
        <v>1.2194417650025571</v>
      </c>
      <c r="V63" s="1">
        <f>F63-R63</f>
        <v>1385.0331037595461</v>
      </c>
      <c r="W63" s="1">
        <f>G63-S63</f>
        <v>-67600.810057543189</v>
      </c>
      <c r="Y63" s="1"/>
      <c r="Z63" s="1"/>
      <c r="AA63" s="1"/>
    </row>
    <row r="64" spans="1:31">
      <c r="A64" s="285"/>
      <c r="B64" s="285"/>
      <c r="C64" s="285"/>
      <c r="D64" s="53"/>
      <c r="E64" s="214">
        <f>SQRT(E27^2+E29^2+F$60^2)</f>
        <v>1.5231251093451776</v>
      </c>
      <c r="F64" s="214">
        <f>SQRT(F27^2+F29^2+G$60^2)</f>
        <v>0.93030159410620472</v>
      </c>
      <c r="G64" s="214">
        <f>SQRT(G27^2+G29^2+H$60^2)</f>
        <v>1.7711941878940152</v>
      </c>
      <c r="H64" s="53"/>
      <c r="I64" s="282"/>
      <c r="J64" s="283"/>
      <c r="K64" s="282"/>
      <c r="L64" s="282"/>
      <c r="Q64" s="274">
        <f>E64</f>
        <v>1.5231251093451776</v>
      </c>
      <c r="R64" s="274">
        <f>F64</f>
        <v>0.93030159410620472</v>
      </c>
      <c r="S64" s="274">
        <f>G64</f>
        <v>1.7711941878940152</v>
      </c>
    </row>
    <row r="65" spans="1:31">
      <c r="A65" s="284" t="str">
        <f>C30</f>
        <v>MIUL</v>
      </c>
      <c r="B65" s="284"/>
      <c r="C65" s="284" t="str">
        <f>C26</f>
        <v>21704M001</v>
      </c>
      <c r="E65" s="1">
        <f>(E30-E26)*1000</f>
        <v>-10182.899999897927</v>
      </c>
      <c r="F65" s="1">
        <f>(F30-F26)*1000</f>
        <v>-8683.9000000618398</v>
      </c>
      <c r="G65" s="1">
        <f>(G30-G26)*1000</f>
        <v>4686.1999998800457</v>
      </c>
      <c r="I65" s="280" t="str">
        <f>I30</f>
        <v>MIUL</v>
      </c>
      <c r="J65" s="281"/>
      <c r="K65" s="280">
        <f>I26</f>
        <v>7337</v>
      </c>
      <c r="L65" s="280" t="s">
        <v>198</v>
      </c>
      <c r="N65" t="s">
        <v>196</v>
      </c>
      <c r="Q65" s="275">
        <f>(Q30-Q26)*1000</f>
        <v>-10182.682710831279</v>
      </c>
      <c r="R65" s="275">
        <f>(R30-R26)*1000</f>
        <v>-8684.3656645588144</v>
      </c>
      <c r="S65" s="275">
        <f>(S30-S26)*1000</f>
        <v>4685.7735082424233</v>
      </c>
      <c r="U65" s="1">
        <f>E65-Q65</f>
        <v>-0.21728906664793612</v>
      </c>
      <c r="V65" s="1">
        <f>F65-R65</f>
        <v>0.46566449697456846</v>
      </c>
      <c r="W65" s="1">
        <f>G65-S65</f>
        <v>0.42649163762234821</v>
      </c>
      <c r="Y65" s="1">
        <f>Q65-Q71</f>
        <v>0.34386290172369627</v>
      </c>
      <c r="Z65" s="1">
        <f>R65-R71</f>
        <v>-2.2602406630994665</v>
      </c>
      <c r="AA65" s="1">
        <f>S65-S71</f>
        <v>-0.85033549983381818</v>
      </c>
    </row>
    <row r="66" spans="1:31">
      <c r="A66" s="285"/>
      <c r="B66" s="285"/>
      <c r="C66" s="285"/>
      <c r="D66" s="53"/>
      <c r="E66" s="214">
        <f>SQRT(E31^2+E27^2+F$60^2)</f>
        <v>2.1377348055167551</v>
      </c>
      <c r="F66" s="214">
        <f>SQRT(F31^2+F27^2+G$60^2)</f>
        <v>0.9774768825893253</v>
      </c>
      <c r="G66" s="214">
        <f>SQRT(G31^2+G27^2+H$60^2)</f>
        <v>1.7740148959999011</v>
      </c>
      <c r="H66" s="53"/>
      <c r="I66" s="282"/>
      <c r="J66" s="283"/>
      <c r="K66" s="282"/>
      <c r="L66" s="282"/>
      <c r="Q66" s="274">
        <f>E66</f>
        <v>2.1377348055167551</v>
      </c>
      <c r="R66" s="274">
        <f>F66</f>
        <v>0.9774768825893253</v>
      </c>
      <c r="S66" s="274">
        <f>G66</f>
        <v>1.7740148959999011</v>
      </c>
    </row>
    <row r="68" spans="1:31">
      <c r="E68" s="6" t="s">
        <v>241</v>
      </c>
      <c r="F68" s="6">
        <f>F60</f>
        <v>0.26440517906758032</v>
      </c>
      <c r="G68" s="6">
        <f>G60</f>
        <v>0.88060266635784479</v>
      </c>
      <c r="H68" s="6">
        <f>H60</f>
        <v>1.7683689805098766</v>
      </c>
    </row>
    <row r="69" spans="1:31">
      <c r="A69" s="284" t="str">
        <f>C34</f>
        <v>21704S004</v>
      </c>
      <c r="B69" s="284"/>
      <c r="C69" s="284" t="str">
        <f>C36</f>
        <v>21704M001</v>
      </c>
      <c r="E69" s="1">
        <f>(E34-E36)*1000</f>
        <v>31761.099999770522</v>
      </c>
      <c r="F69" s="1">
        <f>(F34-F36)*1000</f>
        <v>-22518.399999942631</v>
      </c>
      <c r="G69" s="1">
        <f>(G34-G36)*1000</f>
        <v>66550.299999769777</v>
      </c>
      <c r="I69" s="280">
        <f>I34</f>
        <v>7336</v>
      </c>
      <c r="J69" s="281"/>
      <c r="K69" s="280">
        <f>I36</f>
        <v>7337</v>
      </c>
      <c r="L69" s="280" t="s">
        <v>199</v>
      </c>
      <c r="Q69" s="275">
        <f>(Q34-Q36)*1000</f>
        <v>31761.242764636441</v>
      </c>
      <c r="R69" s="275">
        <f>(R34-R36)*1000</f>
        <v>-22512.158612003623</v>
      </c>
      <c r="S69" s="275">
        <f>(S34-S36)*1000</f>
        <v>66549.91989389919</v>
      </c>
      <c r="U69" s="1">
        <f>E69-Q69</f>
        <v>-0.14276486591916182</v>
      </c>
      <c r="V69" s="1">
        <f>F69-R69</f>
        <v>-6.2413879390078364</v>
      </c>
      <c r="W69" s="1">
        <f>G69-S69</f>
        <v>0.38010587058670353</v>
      </c>
      <c r="Y69" s="1"/>
      <c r="Z69" s="1"/>
      <c r="AA69" s="1"/>
      <c r="AC69" s="1"/>
      <c r="AD69" s="1"/>
      <c r="AE69" s="1"/>
    </row>
    <row r="70" spans="1:31">
      <c r="A70" s="285"/>
      <c r="B70" s="285"/>
      <c r="C70" s="285"/>
      <c r="D70" s="53"/>
      <c r="E70" s="214">
        <f>SQRT(E35^2+E37^2+F$68^2)</f>
        <v>1.6762786459051964</v>
      </c>
      <c r="F70" s="214">
        <f>SQRT(F35^2+F37^2+G$68^2)</f>
        <v>1.2269723126446439</v>
      </c>
      <c r="G70" s="214">
        <f>SQRT(G35^2+G37^2+H$68^2)</f>
        <v>1.8700611891672263</v>
      </c>
      <c r="H70" s="53"/>
      <c r="I70" s="282"/>
      <c r="J70" s="283"/>
      <c r="K70" s="282"/>
      <c r="L70" s="282"/>
      <c r="Q70" s="274">
        <f>E70</f>
        <v>1.6762786459051964</v>
      </c>
      <c r="R70" s="274">
        <f>F70</f>
        <v>1.2269723126446439</v>
      </c>
      <c r="S70" s="274">
        <f>G70</f>
        <v>1.8700611891672263</v>
      </c>
    </row>
    <row r="71" spans="1:31">
      <c r="A71" s="284" t="str">
        <f>C38</f>
        <v>MIUL</v>
      </c>
      <c r="B71" s="284"/>
      <c r="C71" s="284" t="str">
        <f>C36</f>
        <v>21704M001</v>
      </c>
      <c r="E71" s="1">
        <f>(E38-E36)*1000</f>
        <v>-10183.300000149757</v>
      </c>
      <c r="F71" s="1">
        <f>(F38-F36)*1000</f>
        <v>-8681.7000000737607</v>
      </c>
      <c r="G71" s="1">
        <f>(G38-G36)*1000</f>
        <v>4686.9999999180436</v>
      </c>
      <c r="I71" s="280" t="str">
        <f>I38</f>
        <v>MIUL</v>
      </c>
      <c r="J71" s="281"/>
      <c r="K71" s="280">
        <f>I36</f>
        <v>7337</v>
      </c>
      <c r="L71" s="280" t="s">
        <v>199</v>
      </c>
      <c r="N71" t="s">
        <v>196</v>
      </c>
      <c r="Q71" s="275">
        <f>(Q38-Q36)*1000</f>
        <v>-10183.026573733003</v>
      </c>
      <c r="R71" s="275">
        <f>(R38-R36)*1000</f>
        <v>-8682.1054238957149</v>
      </c>
      <c r="S71" s="275">
        <f>(S38-S36)*1000</f>
        <v>4686.6238437422571</v>
      </c>
      <c r="U71" s="1">
        <f>E71-Q71</f>
        <v>-0.27342641675386403</v>
      </c>
      <c r="V71" s="1">
        <f>F71-R71</f>
        <v>0.40542382195417304</v>
      </c>
      <c r="W71" s="1">
        <f>G71-S71</f>
        <v>0.37615617578649108</v>
      </c>
      <c r="Y71" s="1"/>
      <c r="Z71" s="1"/>
      <c r="AA71" s="1"/>
    </row>
    <row r="72" spans="1:31">
      <c r="A72" s="285"/>
      <c r="B72" s="285"/>
      <c r="C72" s="285"/>
      <c r="D72" s="53"/>
      <c r="E72" s="214">
        <f>SQRT(E39^2+E37^2+F$68^2)</f>
        <v>2.1377348055167551</v>
      </c>
      <c r="F72" s="214">
        <f>SQRT(F39^2+F37^2+G$68^2)</f>
        <v>0.9774768825893253</v>
      </c>
      <c r="G72" s="214">
        <f>SQRT(G39^2+G37^2+H$68^2)</f>
        <v>1.7740148959999011</v>
      </c>
      <c r="H72" s="53"/>
      <c r="I72" s="282"/>
      <c r="J72" s="283"/>
      <c r="K72" s="282"/>
      <c r="L72" s="282"/>
      <c r="Q72" s="274">
        <f>E72</f>
        <v>2.1377348055167551</v>
      </c>
      <c r="R72" s="274">
        <f>F72</f>
        <v>0.9774768825893253</v>
      </c>
      <c r="S72" s="274">
        <f>G72</f>
        <v>1.7740148959999011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2D092-7C69-4D6A-A5C7-6B8FB39F7075}">
  <dimension ref="A1:AH72"/>
  <sheetViews>
    <sheetView topLeftCell="A25" workbookViewId="0">
      <selection activeCell="G13" sqref="G13"/>
    </sheetView>
  </sheetViews>
  <sheetFormatPr defaultRowHeight="15"/>
  <cols>
    <col min="1" max="1" width="12" customWidth="1"/>
    <col min="2" max="2" width="4.28515625" customWidth="1"/>
    <col min="3" max="3" width="10.85546875" customWidth="1"/>
    <col min="4" max="4" width="8.5703125" customWidth="1"/>
    <col min="5" max="7" width="14.28515625" customWidth="1"/>
    <col min="9" max="9" width="9.140625" style="9"/>
  </cols>
  <sheetData>
    <row r="1" spans="1:34" ht="15.75" thickBot="1">
      <c r="C1" t="s">
        <v>178</v>
      </c>
      <c r="D1" t="s">
        <v>177</v>
      </c>
      <c r="E1" s="1"/>
      <c r="F1" s="1"/>
      <c r="G1" s="1"/>
      <c r="I1" s="200"/>
      <c r="J1" s="9"/>
      <c r="K1" s="200"/>
      <c r="L1" s="200"/>
      <c r="P1" s="249" t="s">
        <v>215</v>
      </c>
      <c r="W1" t="s">
        <v>216</v>
      </c>
      <c r="Y1" s="54" t="s">
        <v>217</v>
      </c>
      <c r="Z1" s="54" t="s">
        <v>218</v>
      </c>
      <c r="AA1" s="54"/>
      <c r="AF1" t="s">
        <v>223</v>
      </c>
    </row>
    <row r="2" spans="1:34">
      <c r="E2" s="1"/>
      <c r="F2" s="1"/>
      <c r="G2" s="1"/>
      <c r="I2" s="200"/>
      <c r="J2" s="9"/>
      <c r="K2" s="200"/>
      <c r="L2" s="200"/>
      <c r="P2" s="249"/>
      <c r="X2" s="2" t="s">
        <v>181</v>
      </c>
      <c r="Y2" s="2">
        <v>16.399999999999999</v>
      </c>
      <c r="Z2" s="2">
        <v>-24.3</v>
      </c>
      <c r="AA2" s="2" t="s">
        <v>219</v>
      </c>
      <c r="AB2" s="2">
        <f>RADIANS(Y2/3600)</f>
        <v>7.9509443701963883E-5</v>
      </c>
      <c r="AC2" s="2">
        <f>RADIANS(Z2/3600)</f>
        <v>-1.1780972450961724E-4</v>
      </c>
      <c r="AD2" s="2" t="s">
        <v>220</v>
      </c>
      <c r="AF2" s="17">
        <v>1</v>
      </c>
      <c r="AG2" s="18">
        <v>0</v>
      </c>
      <c r="AH2" s="19">
        <f>-AF4</f>
        <v>24.3</v>
      </c>
    </row>
    <row r="3" spans="1:34">
      <c r="E3" s="1"/>
      <c r="F3" s="1"/>
      <c r="G3" s="1"/>
      <c r="I3" s="200"/>
      <c r="J3" s="9"/>
      <c r="K3" s="200"/>
      <c r="L3" s="200"/>
      <c r="P3" s="249"/>
      <c r="X3" s="2" t="s">
        <v>260</v>
      </c>
      <c r="Y3" s="2">
        <v>11.4</v>
      </c>
      <c r="Z3" s="2">
        <v>-17.399999999999999</v>
      </c>
      <c r="AA3" s="2" t="s">
        <v>219</v>
      </c>
      <c r="AB3" s="2">
        <f t="shared" ref="AB3:AC5" si="0">RADIANS(Y3/3600)</f>
        <v>5.5268759646487099E-5</v>
      </c>
      <c r="AC3" s="2">
        <f t="shared" si="0"/>
        <v>-8.4357580513059246E-5</v>
      </c>
      <c r="AD3" s="2" t="s">
        <v>220</v>
      </c>
      <c r="AF3" s="20">
        <v>0</v>
      </c>
      <c r="AG3" s="2">
        <v>1</v>
      </c>
      <c r="AH3" s="21">
        <f>-AG4</f>
        <v>-16.399999999999999</v>
      </c>
    </row>
    <row r="4" spans="1:34" ht="15.75" thickBot="1">
      <c r="E4" s="1"/>
      <c r="F4" s="1"/>
      <c r="G4" s="1"/>
      <c r="I4" s="200"/>
      <c r="J4" s="9"/>
      <c r="K4" s="200"/>
      <c r="L4" s="200"/>
      <c r="P4" s="249"/>
      <c r="X4" s="2" t="s">
        <v>221</v>
      </c>
      <c r="Y4" s="2">
        <v>-1.9</v>
      </c>
      <c r="Z4" s="2">
        <v>-9.3000000000000007</v>
      </c>
      <c r="AA4" s="2" t="s">
        <v>219</v>
      </c>
      <c r="AB4" s="2">
        <f t="shared" si="0"/>
        <v>-9.2114599410811831E-6</v>
      </c>
      <c r="AC4" s="2">
        <f t="shared" si="0"/>
        <v>-4.5087672343186846E-5</v>
      </c>
      <c r="AD4" s="2" t="s">
        <v>220</v>
      </c>
      <c r="AF4" s="22">
        <f>Z2</f>
        <v>-24.3</v>
      </c>
      <c r="AG4" s="23">
        <f>Y2</f>
        <v>16.399999999999999</v>
      </c>
      <c r="AH4" s="24">
        <v>1</v>
      </c>
    </row>
    <row r="5" spans="1:34">
      <c r="C5" t="s">
        <v>180</v>
      </c>
      <c r="D5" t="s">
        <v>222</v>
      </c>
      <c r="E5" s="1"/>
      <c r="F5" s="1"/>
      <c r="G5" s="1"/>
      <c r="I5" s="200"/>
      <c r="J5" s="9"/>
      <c r="K5" s="200"/>
      <c r="L5" s="200"/>
      <c r="Q5" t="s">
        <v>213</v>
      </c>
      <c r="U5" t="s">
        <v>222</v>
      </c>
      <c r="X5" s="2" t="s">
        <v>222</v>
      </c>
      <c r="Y5" s="2">
        <v>-4.5</v>
      </c>
      <c r="Z5" s="2">
        <v>-13.6</v>
      </c>
      <c r="AA5" s="2" t="s">
        <v>219</v>
      </c>
      <c r="AB5" s="2">
        <f t="shared" si="0"/>
        <v>-2.1816615649929121E-5</v>
      </c>
      <c r="AC5" s="2">
        <f t="shared" si="0"/>
        <v>-6.5934660630896893E-5</v>
      </c>
      <c r="AD5" s="2" t="s">
        <v>220</v>
      </c>
    </row>
    <row r="6" spans="1:34">
      <c r="A6" s="2"/>
      <c r="B6" s="2"/>
      <c r="C6" s="2" t="s">
        <v>179</v>
      </c>
      <c r="D6" s="2"/>
      <c r="E6" s="6"/>
      <c r="F6" s="6"/>
      <c r="G6" s="6"/>
      <c r="H6" s="2"/>
      <c r="I6" s="201" t="s">
        <v>184</v>
      </c>
      <c r="J6" s="194"/>
      <c r="K6" s="201"/>
      <c r="L6" s="201"/>
    </row>
    <row r="7" spans="1:34" ht="15.75" thickBot="1">
      <c r="A7" s="60"/>
      <c r="B7" s="60"/>
      <c r="C7" s="60"/>
      <c r="D7" s="60"/>
      <c r="E7" s="216" t="s">
        <v>22</v>
      </c>
      <c r="F7" s="217" t="s">
        <v>23</v>
      </c>
      <c r="G7" s="217" t="s">
        <v>24</v>
      </c>
      <c r="H7" s="218"/>
      <c r="I7" s="219"/>
      <c r="J7" s="113"/>
      <c r="K7" s="219" t="s">
        <v>183</v>
      </c>
      <c r="L7" s="219" t="s">
        <v>182</v>
      </c>
      <c r="O7" t="s">
        <v>214</v>
      </c>
      <c r="P7" t="s">
        <v>207</v>
      </c>
      <c r="Q7" s="216" t="s">
        <v>22</v>
      </c>
      <c r="R7" s="217" t="s">
        <v>23</v>
      </c>
      <c r="S7" s="217" t="s">
        <v>24</v>
      </c>
      <c r="U7" s="219" t="s">
        <v>183</v>
      </c>
      <c r="V7" s="219" t="s">
        <v>182</v>
      </c>
    </row>
    <row r="8" spans="1:34" ht="15.75" thickTop="1">
      <c r="A8" s="56" t="s">
        <v>281</v>
      </c>
      <c r="B8" s="56"/>
      <c r="C8" s="233" t="s">
        <v>253</v>
      </c>
      <c r="D8" s="56"/>
      <c r="E8" s="50">
        <f>H11tat!R24</f>
        <v>-4000983.3788999999</v>
      </c>
      <c r="F8" s="50">
        <f>H11tat!S24</f>
        <v>3375275.9152000002</v>
      </c>
      <c r="G8" s="50">
        <f>H11tat!T24</f>
        <v>3632213.1770000001</v>
      </c>
      <c r="H8" s="56"/>
      <c r="I8" s="9">
        <v>7338</v>
      </c>
      <c r="J8" s="56"/>
      <c r="K8" s="56">
        <v>1996</v>
      </c>
      <c r="L8" s="56">
        <v>275</v>
      </c>
      <c r="N8" t="str">
        <f>A8</f>
        <v>Tat11-CP0</v>
      </c>
      <c r="O8" t="str">
        <f>C8</f>
        <v>21740S001</v>
      </c>
      <c r="P8" s="248">
        <f>I8</f>
        <v>7338</v>
      </c>
      <c r="Q8" s="250">
        <f>H11tat!AX13</f>
        <v>-28.790319540830261</v>
      </c>
      <c r="R8" s="250">
        <f>H11tat!AY13</f>
        <v>-41.907996888243794</v>
      </c>
      <c r="S8" s="250">
        <f>H11tat!AZ13</f>
        <v>14.283134500150741</v>
      </c>
      <c r="U8" s="248">
        <f>K8</f>
        <v>1996</v>
      </c>
      <c r="V8" s="248">
        <f>L8</f>
        <v>275</v>
      </c>
    </row>
    <row r="9" spans="1:34">
      <c r="A9" s="2"/>
      <c r="B9" s="2"/>
      <c r="C9" s="2"/>
      <c r="D9" s="2"/>
      <c r="E9" s="6">
        <v>0.4</v>
      </c>
      <c r="F9" s="6">
        <v>0.1</v>
      </c>
      <c r="G9" s="6">
        <v>0.1</v>
      </c>
      <c r="H9" s="2"/>
      <c r="I9" s="194"/>
      <c r="J9" s="2"/>
      <c r="K9" s="2"/>
      <c r="L9" s="2"/>
      <c r="N9" t="s">
        <v>185</v>
      </c>
    </row>
    <row r="10" spans="1:34">
      <c r="A10" s="14" t="s">
        <v>139</v>
      </c>
      <c r="B10" s="14"/>
      <c r="C10" s="233" t="s">
        <v>255</v>
      </c>
      <c r="D10" s="2"/>
      <c r="E10" s="124">
        <f>H11tat!R28</f>
        <v>-4000955.1743000001</v>
      </c>
      <c r="F10" s="124">
        <f>H11tat!S28</f>
        <v>3375310.3991</v>
      </c>
      <c r="G10" s="124">
        <f>H11tat!T28</f>
        <v>3632200.8346000002</v>
      </c>
      <c r="H10" s="2"/>
      <c r="I10" s="9">
        <v>7339</v>
      </c>
      <c r="J10" s="2"/>
      <c r="K10" s="2">
        <v>1996</v>
      </c>
      <c r="L10" s="2">
        <v>275</v>
      </c>
      <c r="N10" t="str">
        <f>A10</f>
        <v>SLR-S2(RT)</v>
      </c>
      <c r="O10" t="str">
        <f>C10</f>
        <v>21740M001</v>
      </c>
      <c r="P10" s="248">
        <f>I10</f>
        <v>7339</v>
      </c>
      <c r="Q10" s="250">
        <f>H11tat!AX12</f>
        <v>-0.58434506583804868</v>
      </c>
      <c r="R10" s="250">
        <f>H11tat!AY12</f>
        <v>-7.4257234988431273</v>
      </c>
      <c r="S10" s="250">
        <f>H11tat!AZ12</f>
        <v>1.9390962451291647</v>
      </c>
      <c r="U10" s="248">
        <f>K10</f>
        <v>1996</v>
      </c>
      <c r="V10" s="248">
        <f>L10</f>
        <v>275</v>
      </c>
    </row>
    <row r="11" spans="1:34">
      <c r="A11" s="2"/>
      <c r="B11" s="2"/>
      <c r="C11" s="2"/>
      <c r="D11" s="2"/>
      <c r="E11" s="2">
        <v>1.8</v>
      </c>
      <c r="F11" s="6">
        <v>1.9</v>
      </c>
      <c r="G11" s="6">
        <v>0.6</v>
      </c>
      <c r="H11" s="2"/>
      <c r="I11" s="194"/>
      <c r="J11" s="2"/>
      <c r="K11" s="2"/>
      <c r="L11" s="2"/>
      <c r="N11" t="s">
        <v>276</v>
      </c>
    </row>
    <row r="12" spans="1:34">
      <c r="A12" s="14" t="s">
        <v>32</v>
      </c>
      <c r="B12" s="2"/>
      <c r="C12" s="2" t="s">
        <v>280</v>
      </c>
      <c r="D12" s="2"/>
      <c r="E12" s="14">
        <f>H11tat!R26</f>
        <v>-4000964.7680000002</v>
      </c>
      <c r="F12" s="14">
        <f>H11tat!S26</f>
        <v>3375308.8969000001</v>
      </c>
      <c r="G12" s="14">
        <f>H11tat!T26</f>
        <v>3632199.5082999999</v>
      </c>
      <c r="H12" s="2"/>
      <c r="I12" s="2" t="s">
        <v>280</v>
      </c>
      <c r="J12" s="2"/>
      <c r="K12" s="2">
        <v>1996</v>
      </c>
      <c r="L12" s="2">
        <v>275</v>
      </c>
      <c r="N12" t="str">
        <f>A12</f>
        <v>SLR-CP0</v>
      </c>
      <c r="O12" t="str">
        <f>C12</f>
        <v>TATL</v>
      </c>
      <c r="P12" s="248" t="str">
        <f>I12</f>
        <v>TATL</v>
      </c>
      <c r="Q12" s="250">
        <f>H11tat!AX10</f>
        <v>-10.178246436118535</v>
      </c>
      <c r="R12" s="250">
        <f>H11tat!AY10</f>
        <v>-8.9274315899679326</v>
      </c>
      <c r="S12" s="250">
        <f>H11tat!AZ10</f>
        <v>0.6130998663286783</v>
      </c>
      <c r="U12" s="248">
        <f>K12</f>
        <v>1996</v>
      </c>
      <c r="V12" s="248">
        <f>L12</f>
        <v>275</v>
      </c>
    </row>
    <row r="13" spans="1:34">
      <c r="A13" s="2"/>
      <c r="B13" s="2"/>
      <c r="C13" s="2"/>
      <c r="D13" s="2"/>
      <c r="E13" s="6">
        <v>0.2</v>
      </c>
      <c r="F13" s="6">
        <v>0.2</v>
      </c>
      <c r="G13" s="6">
        <v>0.2</v>
      </c>
      <c r="H13" s="2"/>
      <c r="I13" s="194"/>
      <c r="J13" s="2"/>
      <c r="K13" s="2"/>
      <c r="L13" s="2"/>
      <c r="N13" t="s">
        <v>277</v>
      </c>
    </row>
    <row r="15" spans="1:34" ht="15.75" thickBot="1">
      <c r="Q15" s="216" t="s">
        <v>22</v>
      </c>
      <c r="R15" s="217" t="s">
        <v>23</v>
      </c>
      <c r="S15" s="217" t="s">
        <v>24</v>
      </c>
    </row>
    <row r="16" spans="1:34" ht="15.75" thickTop="1">
      <c r="A16" s="56" t="str">
        <f>A8</f>
        <v>Tat11-CP0</v>
      </c>
      <c r="B16" s="56"/>
      <c r="C16" s="233" t="s">
        <v>253</v>
      </c>
      <c r="D16" s="56"/>
      <c r="E16" s="14">
        <f>H11tat!N24</f>
        <v>-4000983.3766999999</v>
      </c>
      <c r="F16" s="14">
        <f>H11tat!O24</f>
        <v>3375275.9158000001</v>
      </c>
      <c r="G16" s="14">
        <f>H11tat!P24</f>
        <v>3632213.1754000001</v>
      </c>
      <c r="H16" s="56"/>
      <c r="I16" s="9">
        <v>7338</v>
      </c>
      <c r="J16" s="56"/>
      <c r="K16" s="56">
        <v>1997</v>
      </c>
      <c r="L16" s="56">
        <v>275</v>
      </c>
      <c r="N16" t="str">
        <f>A16</f>
        <v>Tat11-CP0</v>
      </c>
      <c r="O16" t="str">
        <f>C16</f>
        <v>21740S001</v>
      </c>
      <c r="P16" s="248">
        <f>I16</f>
        <v>7338</v>
      </c>
      <c r="Q16" s="250">
        <f>H11tat!AT13</f>
        <v>-28.788103870821782</v>
      </c>
      <c r="R16" s="250">
        <f>H11tat!AU13</f>
        <v>-41.907380445971384</v>
      </c>
      <c r="S16" s="250">
        <f>H11tat!AV13</f>
        <v>14.28149718363577</v>
      </c>
      <c r="U16" s="248">
        <f>K16</f>
        <v>1997</v>
      </c>
      <c r="V16" s="248">
        <f>L16</f>
        <v>275</v>
      </c>
    </row>
    <row r="17" spans="1:22">
      <c r="A17" s="2"/>
      <c r="B17" s="2"/>
      <c r="C17" s="2"/>
      <c r="D17" s="2"/>
      <c r="E17" s="6">
        <v>0.4</v>
      </c>
      <c r="F17" s="6">
        <v>0.1</v>
      </c>
      <c r="G17" s="6">
        <v>0.1</v>
      </c>
      <c r="H17" s="2"/>
      <c r="I17" s="194"/>
      <c r="J17" s="2"/>
      <c r="K17" s="2"/>
      <c r="L17" s="2"/>
      <c r="N17" t="s">
        <v>185</v>
      </c>
    </row>
    <row r="18" spans="1:22">
      <c r="A18" s="14" t="s">
        <v>139</v>
      </c>
      <c r="B18" s="14"/>
      <c r="C18" s="233" t="s">
        <v>255</v>
      </c>
      <c r="D18" s="2"/>
      <c r="E18" s="124">
        <f>H11tat!N28</f>
        <v>-4000955.1741999998</v>
      </c>
      <c r="F18" s="124">
        <f>H11tat!O28</f>
        <v>3375310.3997999998</v>
      </c>
      <c r="G18" s="124">
        <f>H11tat!P28</f>
        <v>3632200.8344000001</v>
      </c>
      <c r="H18" s="2"/>
      <c r="I18" s="9">
        <v>7339</v>
      </c>
      <c r="J18" s="2"/>
      <c r="K18" s="56">
        <v>1997</v>
      </c>
      <c r="L18" s="2">
        <v>275</v>
      </c>
      <c r="N18" t="str">
        <f>A18</f>
        <v>SLR-S2(RT)</v>
      </c>
      <c r="O18" t="str">
        <f>C18</f>
        <v>21740M001</v>
      </c>
      <c r="P18" s="248">
        <f>I18</f>
        <v>7339</v>
      </c>
      <c r="Q18" s="250">
        <f>H11tat!AT12</f>
        <v>-0.58432303761478677</v>
      </c>
      <c r="R18" s="250">
        <f>H11tat!AU12</f>
        <v>-7.4250879047891001</v>
      </c>
      <c r="S18" s="250">
        <f>H11tat!AV12</f>
        <v>1.9388828559151805</v>
      </c>
      <c r="U18" s="248">
        <f>K18</f>
        <v>1997</v>
      </c>
      <c r="V18" s="248">
        <f>L18</f>
        <v>275</v>
      </c>
    </row>
    <row r="19" spans="1:22">
      <c r="A19" s="2"/>
      <c r="B19" s="2"/>
      <c r="C19" s="2"/>
      <c r="D19" s="2"/>
      <c r="E19" s="2">
        <v>1.5</v>
      </c>
      <c r="F19" s="6">
        <v>1.9</v>
      </c>
      <c r="G19" s="6">
        <v>0.8</v>
      </c>
      <c r="H19" s="2"/>
      <c r="I19" s="194"/>
      <c r="J19" s="2"/>
      <c r="K19" s="2"/>
      <c r="L19" s="2"/>
      <c r="N19" t="s">
        <v>276</v>
      </c>
    </row>
    <row r="20" spans="1:22">
      <c r="A20" s="14" t="s">
        <v>32</v>
      </c>
      <c r="B20" s="2"/>
      <c r="C20" s="2" t="s">
        <v>280</v>
      </c>
      <c r="D20" s="2"/>
      <c r="E20" s="14">
        <f>H11tat!N26</f>
        <v>-4000964.7645</v>
      </c>
      <c r="F20" s="14">
        <f>H11tat!O26</f>
        <v>3375308.9027</v>
      </c>
      <c r="G20" s="14">
        <f>H11tat!P26</f>
        <v>3632199.5063</v>
      </c>
      <c r="H20" s="2"/>
      <c r="I20" s="2" t="s">
        <v>280</v>
      </c>
      <c r="J20" s="2"/>
      <c r="K20" s="56">
        <v>1997</v>
      </c>
      <c r="L20" s="2">
        <v>275</v>
      </c>
      <c r="N20" t="str">
        <f>A20</f>
        <v>SLR-CP0</v>
      </c>
      <c r="O20" t="str">
        <f>C20</f>
        <v>TATL</v>
      </c>
      <c r="P20" s="248" t="str">
        <f>I20</f>
        <v>TATL</v>
      </c>
      <c r="Q20" s="250">
        <f>H11tat!AT10</f>
        <v>-10.174765427150207</v>
      </c>
      <c r="R20" s="250">
        <f>H11tat!AU10</f>
        <v>-8.9217333652135054</v>
      </c>
      <c r="S20" s="250">
        <f>H11tat!AV10</f>
        <v>0.6111243128971604</v>
      </c>
      <c r="U20" s="248">
        <f>K20</f>
        <v>1997</v>
      </c>
      <c r="V20" s="248">
        <f>L20</f>
        <v>275</v>
      </c>
    </row>
    <row r="21" spans="1:22">
      <c r="A21" s="2"/>
      <c r="B21" s="2"/>
      <c r="C21" s="2"/>
      <c r="D21" s="2"/>
      <c r="E21" s="6">
        <v>0.2</v>
      </c>
      <c r="F21" s="6">
        <v>0.2</v>
      </c>
      <c r="G21" s="6">
        <v>0.2</v>
      </c>
      <c r="H21" s="2"/>
      <c r="I21" s="194"/>
      <c r="J21" s="2"/>
      <c r="K21" s="2"/>
      <c r="L21" s="2"/>
      <c r="N21" t="s">
        <v>277</v>
      </c>
    </row>
    <row r="23" spans="1:22" ht="15.75" thickBot="1">
      <c r="Q23" s="216" t="s">
        <v>22</v>
      </c>
      <c r="R23" s="217" t="s">
        <v>23</v>
      </c>
      <c r="S23" s="217" t="s">
        <v>24</v>
      </c>
    </row>
    <row r="24" spans="1:22" ht="15.75" thickTop="1">
      <c r="A24" s="56" t="str">
        <f>A8</f>
        <v>Tat11-CP0</v>
      </c>
      <c r="B24" s="56"/>
      <c r="C24" s="233" t="s">
        <v>253</v>
      </c>
      <c r="D24" s="56"/>
      <c r="E24" s="14">
        <f>H11tat!J24</f>
        <v>-4000983.3768000002</v>
      </c>
      <c r="F24" s="14">
        <f>H11tat!K24</f>
        <v>3375275.9150999999</v>
      </c>
      <c r="G24" s="14">
        <f>H11tat!L24</f>
        <v>3632213.1751000001</v>
      </c>
      <c r="H24" s="56"/>
      <c r="I24" s="9">
        <v>7338</v>
      </c>
      <c r="J24" s="56"/>
      <c r="K24" s="56">
        <v>1998</v>
      </c>
      <c r="L24" s="56">
        <v>275</v>
      </c>
      <c r="N24" t="str">
        <f>A24</f>
        <v>Tat11-CP0</v>
      </c>
      <c r="O24" t="str">
        <f>C24</f>
        <v>21740S001</v>
      </c>
      <c r="P24" s="248">
        <f>I24</f>
        <v>7338</v>
      </c>
      <c r="Q24" s="250">
        <f>H11tat!AP13</f>
        <v>-28.78817751451329</v>
      </c>
      <c r="R24" s="250">
        <f>H11tat!AQ13</f>
        <v>-41.90810335387819</v>
      </c>
      <c r="S24" s="250">
        <f>H11tat!AR13</f>
        <v>14.281210860797451</v>
      </c>
      <c r="U24" s="248">
        <f>K24</f>
        <v>1998</v>
      </c>
      <c r="V24" s="248">
        <f>L24</f>
        <v>275</v>
      </c>
    </row>
    <row r="25" spans="1:22">
      <c r="A25" s="2"/>
      <c r="B25" s="2"/>
      <c r="C25" s="2"/>
      <c r="D25" s="2"/>
      <c r="E25" s="6">
        <v>0.4</v>
      </c>
      <c r="F25" s="6">
        <v>0.1</v>
      </c>
      <c r="G25" s="6">
        <v>0.1</v>
      </c>
      <c r="H25" s="2"/>
      <c r="I25" s="194"/>
      <c r="J25" s="2"/>
      <c r="K25" s="2"/>
      <c r="L25" s="2"/>
      <c r="N25" t="s">
        <v>185</v>
      </c>
    </row>
    <row r="26" spans="1:22">
      <c r="A26" s="14" t="s">
        <v>139</v>
      </c>
      <c r="B26" s="14"/>
      <c r="C26" s="233" t="s">
        <v>255</v>
      </c>
      <c r="D26" s="2"/>
      <c r="E26" s="124">
        <f>H11tat!J28</f>
        <v>-4000955.1743000001</v>
      </c>
      <c r="F26" s="124">
        <f>H11tat!K28</f>
        <v>3375310.4001000002</v>
      </c>
      <c r="G26" s="124">
        <f>H11tat!L28</f>
        <v>3632200.8343000002</v>
      </c>
      <c r="H26" s="2"/>
      <c r="I26" s="9">
        <v>7339</v>
      </c>
      <c r="J26" s="2"/>
      <c r="K26" s="56">
        <v>1998</v>
      </c>
      <c r="L26" s="2">
        <v>275</v>
      </c>
      <c r="N26" t="str">
        <f>A26</f>
        <v>SLR-S2(RT)</v>
      </c>
      <c r="O26" t="str">
        <f>C26</f>
        <v>21740M001</v>
      </c>
      <c r="P26" s="248">
        <f>I26</f>
        <v>7339</v>
      </c>
      <c r="Q26" s="250">
        <f>H11tat!AP12</f>
        <v>-0.58412826512334148</v>
      </c>
      <c r="R26" s="250">
        <f>H11tat!AQ12</f>
        <v>-7.4243363779709117</v>
      </c>
      <c r="S26" s="250">
        <f>H11tat!AR12</f>
        <v>1.9387514362823883</v>
      </c>
      <c r="U26" s="248">
        <f>K26</f>
        <v>1998</v>
      </c>
      <c r="V26" s="248">
        <f>L26</f>
        <v>275</v>
      </c>
    </row>
    <row r="27" spans="1:22">
      <c r="A27" s="2"/>
      <c r="B27" s="2"/>
      <c r="C27" s="2"/>
      <c r="D27" s="2"/>
      <c r="E27" s="2">
        <v>1.4</v>
      </c>
      <c r="F27" s="6">
        <v>1.7</v>
      </c>
      <c r="G27" s="6">
        <v>0.6</v>
      </c>
      <c r="H27" s="2"/>
      <c r="I27" s="194"/>
      <c r="J27" s="2"/>
      <c r="K27" s="2"/>
      <c r="L27" s="2"/>
      <c r="N27" t="s">
        <v>185</v>
      </c>
    </row>
    <row r="28" spans="1:22">
      <c r="A28" s="14" t="s">
        <v>1</v>
      </c>
      <c r="B28" s="2"/>
      <c r="C28" s="233" t="s">
        <v>254</v>
      </c>
      <c r="D28" s="2"/>
      <c r="E28" s="14">
        <f>H11tat!J22</f>
        <v>-4000969.8642000002</v>
      </c>
      <c r="F28" s="14">
        <f>H11tat!K22</f>
        <v>3375309.0153000001</v>
      </c>
      <c r="G28" s="14">
        <f>H11tat!L22</f>
        <v>3632196.8851999999</v>
      </c>
      <c r="H28" s="2"/>
      <c r="I28" s="194"/>
      <c r="J28" s="2"/>
      <c r="K28" s="56">
        <v>1998</v>
      </c>
      <c r="L28" s="2">
        <v>275</v>
      </c>
      <c r="N28" t="str">
        <f>A28</f>
        <v>SLR-PGPS</v>
      </c>
      <c r="O28" t="str">
        <f>C28</f>
        <v>21740S002</v>
      </c>
      <c r="P28" s="248">
        <f>I28</f>
        <v>0</v>
      </c>
      <c r="Q28" s="144">
        <f>H11tat!AP15</f>
        <v>-15.274473902348969</v>
      </c>
      <c r="R28" s="144">
        <f>H11tat!AQ15</f>
        <v>-8.8088452110267941</v>
      </c>
      <c r="S28" s="144">
        <f>H11tat!AR15</f>
        <v>-2.0097507589247798</v>
      </c>
      <c r="U28" s="248">
        <f>K28</f>
        <v>1998</v>
      </c>
      <c r="V28" s="248">
        <f>L28</f>
        <v>275</v>
      </c>
    </row>
    <row r="29" spans="1:22">
      <c r="A29" s="2"/>
      <c r="B29" s="2"/>
      <c r="C29" s="2"/>
      <c r="D29" s="2"/>
      <c r="E29" s="6">
        <v>0.2</v>
      </c>
      <c r="F29" s="6">
        <v>0.2</v>
      </c>
      <c r="G29" s="6">
        <v>0.2</v>
      </c>
      <c r="H29" s="2"/>
      <c r="I29" s="194"/>
      <c r="J29" s="2"/>
      <c r="K29" s="2"/>
      <c r="L29" s="2"/>
      <c r="N29" t="s">
        <v>185</v>
      </c>
    </row>
    <row r="30" spans="1:22">
      <c r="A30" s="14" t="s">
        <v>32</v>
      </c>
      <c r="B30" s="2"/>
      <c r="C30" s="2" t="s">
        <v>280</v>
      </c>
      <c r="D30" s="2"/>
      <c r="E30" s="14">
        <f>H11tat!J26</f>
        <v>-4000964.7669000002</v>
      </c>
      <c r="F30" s="14">
        <f>H11tat!K26</f>
        <v>3375308.9035999998</v>
      </c>
      <c r="G30" s="14">
        <f>H11tat!L26</f>
        <v>3632199.5087000001</v>
      </c>
      <c r="H30" s="2"/>
      <c r="I30" s="2" t="s">
        <v>280</v>
      </c>
      <c r="J30" s="2"/>
      <c r="K30" s="56">
        <v>1998</v>
      </c>
      <c r="L30" s="2">
        <v>275</v>
      </c>
      <c r="N30" t="str">
        <f>A30</f>
        <v>SLR-CP0</v>
      </c>
      <c r="O30" t="str">
        <f>C30</f>
        <v>TATL</v>
      </c>
      <c r="P30" s="248" t="str">
        <f>I30</f>
        <v>TATL</v>
      </c>
      <c r="Q30" s="250">
        <f>H11tat!AP10</f>
        <v>-10.177148911553822</v>
      </c>
      <c r="R30" s="250">
        <f>H11tat!AQ10</f>
        <v>-8.9207689615070436</v>
      </c>
      <c r="S30" s="250">
        <f>H11tat!AR10</f>
        <v>0.61356335525965089</v>
      </c>
      <c r="U30" s="248">
        <f>K30</f>
        <v>1998</v>
      </c>
      <c r="V30" s="248">
        <f>L30</f>
        <v>275</v>
      </c>
    </row>
    <row r="31" spans="1:22">
      <c r="A31" s="2"/>
      <c r="B31" s="2"/>
      <c r="C31" s="2"/>
      <c r="D31" s="2"/>
      <c r="E31" s="6">
        <v>0.2</v>
      </c>
      <c r="F31" s="6">
        <v>0.2</v>
      </c>
      <c r="G31" s="6">
        <v>0.2</v>
      </c>
      <c r="H31" s="2"/>
      <c r="I31" s="194"/>
      <c r="J31" s="2"/>
      <c r="K31" s="2"/>
      <c r="L31" s="2"/>
      <c r="N31" t="s">
        <v>185</v>
      </c>
    </row>
    <row r="34" spans="1:29">
      <c r="A34" s="56" t="str">
        <f>A24</f>
        <v>Tat11-CP0</v>
      </c>
      <c r="B34" s="56"/>
      <c r="C34" s="233" t="s">
        <v>253</v>
      </c>
      <c r="D34" s="56"/>
      <c r="E34" s="124">
        <f>H11tat!F24</f>
        <v>-4000983.3780999999</v>
      </c>
      <c r="F34" s="124">
        <f>H11tat!G24</f>
        <v>3375275.9153999998</v>
      </c>
      <c r="G34" s="124">
        <f>H11tat!H24</f>
        <v>3632213.1771999998</v>
      </c>
      <c r="H34" s="56"/>
      <c r="I34" s="9">
        <v>7338</v>
      </c>
      <c r="J34" s="56"/>
      <c r="K34" s="56">
        <v>1999</v>
      </c>
      <c r="L34" s="56">
        <v>305</v>
      </c>
      <c r="N34" t="str">
        <f>A34</f>
        <v>Tat11-CP0</v>
      </c>
      <c r="O34" t="str">
        <f>C34</f>
        <v>21740S001</v>
      </c>
      <c r="P34" s="248">
        <f>I34</f>
        <v>7338</v>
      </c>
      <c r="Q34" s="250">
        <f>H11tat!AL13</f>
        <v>-28.789505087299762</v>
      </c>
      <c r="R34" s="250">
        <f>H11tat!AM13</f>
        <v>-41.907768182962869</v>
      </c>
      <c r="S34" s="250">
        <f>H11tat!AN13</f>
        <v>14.283290574955172</v>
      </c>
      <c r="U34" s="248">
        <f>K34</f>
        <v>1999</v>
      </c>
      <c r="V34" s="248">
        <f>L34</f>
        <v>305</v>
      </c>
    </row>
    <row r="35" spans="1:29">
      <c r="A35" s="2"/>
      <c r="B35" s="2"/>
      <c r="C35" s="2"/>
      <c r="D35" s="2"/>
      <c r="E35" s="6">
        <v>0.4</v>
      </c>
      <c r="F35" s="6">
        <v>0.1</v>
      </c>
      <c r="G35" s="6">
        <v>0.1</v>
      </c>
      <c r="H35" s="2"/>
      <c r="I35" s="194"/>
      <c r="J35" s="2"/>
      <c r="K35" s="2"/>
      <c r="L35" s="2"/>
    </row>
    <row r="36" spans="1:29">
      <c r="A36" s="14" t="s">
        <v>139</v>
      </c>
      <c r="B36" s="14"/>
      <c r="C36" s="233" t="s">
        <v>255</v>
      </c>
      <c r="D36" s="2"/>
      <c r="E36" s="124">
        <f>H11tat!F28</f>
        <v>-4000955.1748000002</v>
      </c>
      <c r="F36" s="124">
        <f>H11tat!G28</f>
        <v>3375310.3991</v>
      </c>
      <c r="G36" s="124">
        <f>H11tat!H28</f>
        <v>3632200.8347999998</v>
      </c>
      <c r="H36" s="2"/>
      <c r="I36" s="9">
        <v>7339</v>
      </c>
      <c r="J36" s="2"/>
      <c r="K36" s="56">
        <v>1999</v>
      </c>
      <c r="L36" s="56">
        <v>305</v>
      </c>
      <c r="N36" t="str">
        <f>A36</f>
        <v>SLR-S2(RT)</v>
      </c>
      <c r="O36" t="str">
        <f>C36</f>
        <v>21740M001</v>
      </c>
      <c r="P36" s="248">
        <f>I36</f>
        <v>7339</v>
      </c>
      <c r="Q36" s="250">
        <f>H11tat!AL12</f>
        <v>-0.58483291188438602</v>
      </c>
      <c r="R36" s="250">
        <f>H11tat!AM12</f>
        <v>-7.4257044014420348</v>
      </c>
      <c r="S36" s="250">
        <f>H11tat!AN12</f>
        <v>1.9392433557188542</v>
      </c>
      <c r="U36" s="248">
        <f>K36</f>
        <v>1999</v>
      </c>
      <c r="V36" s="248">
        <f>L36</f>
        <v>305</v>
      </c>
    </row>
    <row r="37" spans="1:29">
      <c r="A37" s="2"/>
      <c r="B37" s="2"/>
      <c r="C37" s="2"/>
      <c r="D37" s="2"/>
      <c r="E37" s="2">
        <v>1.4</v>
      </c>
      <c r="F37" s="6">
        <v>1.7</v>
      </c>
      <c r="G37" s="6">
        <v>0.6</v>
      </c>
      <c r="H37" s="2"/>
      <c r="I37" s="194"/>
      <c r="J37" s="2"/>
      <c r="K37" s="2"/>
      <c r="L37" s="2"/>
    </row>
    <row r="38" spans="1:29">
      <c r="A38" s="14" t="s">
        <v>32</v>
      </c>
      <c r="B38" s="2"/>
      <c r="C38" s="2" t="s">
        <v>280</v>
      </c>
      <c r="D38" s="2"/>
      <c r="E38" s="124">
        <f>H11tat!F26</f>
        <v>-4000964.7672999999</v>
      </c>
      <c r="F38" s="124">
        <f>H11tat!G26</f>
        <v>3375308.9016999998</v>
      </c>
      <c r="G38" s="124">
        <f>H11tat!H26</f>
        <v>3632199.5076000001</v>
      </c>
      <c r="H38" s="2"/>
      <c r="I38" s="2" t="s">
        <v>280</v>
      </c>
      <c r="J38" s="2"/>
      <c r="K38" s="56">
        <v>1999</v>
      </c>
      <c r="L38" s="56">
        <v>305</v>
      </c>
      <c r="N38" t="str">
        <f>A38</f>
        <v>SLR-CP0</v>
      </c>
      <c r="O38" t="str">
        <f>C38</f>
        <v>TATL</v>
      </c>
      <c r="P38" s="248" t="str">
        <f>I38</f>
        <v>TATL</v>
      </c>
      <c r="Q38" s="250">
        <f>H11tat!AL10</f>
        <v>-10.177085884807429</v>
      </c>
      <c r="R38" s="250">
        <f>H11tat!AM10</f>
        <v>-8.9232198229483597</v>
      </c>
      <c r="S38" s="250">
        <f>H11tat!AN10</f>
        <v>0.61188424934363106</v>
      </c>
      <c r="U38" s="248">
        <f>K38</f>
        <v>1999</v>
      </c>
      <c r="V38" s="248">
        <f>L38</f>
        <v>305</v>
      </c>
    </row>
    <row r="39" spans="1:29">
      <c r="A39" s="2"/>
      <c r="B39" s="2"/>
      <c r="C39" s="2"/>
      <c r="D39" s="2"/>
      <c r="E39" s="6">
        <v>0.2</v>
      </c>
      <c r="F39" s="6">
        <v>0.2</v>
      </c>
      <c r="G39" s="6">
        <v>0.2</v>
      </c>
      <c r="H39" s="2"/>
      <c r="I39" s="194"/>
      <c r="J39" s="2"/>
      <c r="K39" s="2"/>
      <c r="L39" s="2"/>
    </row>
    <row r="42" spans="1:29">
      <c r="C42" t="s">
        <v>191</v>
      </c>
      <c r="E42" s="1"/>
      <c r="F42" s="151" t="s">
        <v>22</v>
      </c>
      <c r="G42" s="151" t="s">
        <v>23</v>
      </c>
      <c r="H42" s="151" t="s">
        <v>24</v>
      </c>
      <c r="I42" s="200"/>
      <c r="J42" s="9"/>
      <c r="K42" s="152" t="s">
        <v>5</v>
      </c>
      <c r="L42" s="151" t="s">
        <v>4</v>
      </c>
      <c r="M42" s="151" t="s">
        <v>6</v>
      </c>
    </row>
    <row r="43" spans="1:29">
      <c r="E43" s="1"/>
      <c r="F43" s="169">
        <v>-10183.939594803798</v>
      </c>
      <c r="G43" s="169">
        <v>-8683.2971150349513</v>
      </c>
      <c r="H43" s="169">
        <v>4686.7650027938398</v>
      </c>
      <c r="I43" s="200"/>
      <c r="J43" s="9"/>
      <c r="K43" s="210">
        <v>13211.2</v>
      </c>
      <c r="L43" s="169">
        <v>2596.1</v>
      </c>
      <c r="M43" s="169">
        <v>4450</v>
      </c>
    </row>
    <row r="44" spans="1:29">
      <c r="A44" s="7"/>
      <c r="B44" s="7"/>
      <c r="C44" s="7"/>
      <c r="D44" s="7"/>
      <c r="E44" s="7"/>
      <c r="F44" s="8">
        <v>2</v>
      </c>
      <c r="G44" s="8">
        <v>2</v>
      </c>
      <c r="H44" s="8">
        <v>2</v>
      </c>
      <c r="I44" s="174"/>
      <c r="J44" s="7"/>
      <c r="K44" s="8">
        <v>2</v>
      </c>
      <c r="L44" s="8">
        <v>2</v>
      </c>
      <c r="M44" s="8">
        <v>2</v>
      </c>
      <c r="N44" s="7"/>
      <c r="O44" s="7"/>
      <c r="P44" s="7"/>
      <c r="Q44" s="7"/>
      <c r="R44" s="7"/>
      <c r="S44" s="7"/>
    </row>
    <row r="45" spans="1:29" ht="15.75" thickBot="1">
      <c r="A45" s="36"/>
      <c r="B45" s="36"/>
      <c r="C45" s="36"/>
      <c r="D45" s="36"/>
      <c r="E45" s="36"/>
      <c r="F45" s="36"/>
      <c r="G45" s="36"/>
      <c r="H45" s="36"/>
      <c r="I45" s="208"/>
      <c r="J45" s="36"/>
      <c r="K45" s="36"/>
      <c r="L45" s="36"/>
      <c r="M45" s="36"/>
      <c r="N45" s="36"/>
      <c r="O45" s="36"/>
      <c r="P45" s="36"/>
      <c r="Q45" s="36"/>
      <c r="R45" s="36"/>
      <c r="S45" s="36"/>
    </row>
    <row r="46" spans="1:29" ht="15.75" thickTop="1"/>
    <row r="47" spans="1:29">
      <c r="A47" t="s">
        <v>286</v>
      </c>
      <c r="C47" t="s">
        <v>192</v>
      </c>
      <c r="E47" s="6" t="s">
        <v>241</v>
      </c>
      <c r="F47" s="6">
        <f>AC49</f>
        <v>0.17304889030401727</v>
      </c>
      <c r="G47" s="6">
        <f>AD49</f>
        <v>1.9915308693264251</v>
      </c>
      <c r="H47" s="6">
        <f>AE49</f>
        <v>0.68584589473903179</v>
      </c>
      <c r="I47" s="200"/>
      <c r="J47" s="9"/>
      <c r="K47" s="200"/>
      <c r="L47" s="200"/>
      <c r="P47" t="s">
        <v>213</v>
      </c>
      <c r="U47" t="s">
        <v>238</v>
      </c>
      <c r="V47" t="s">
        <v>239</v>
      </c>
      <c r="Y47" t="s">
        <v>238</v>
      </c>
      <c r="Z47" t="s">
        <v>278</v>
      </c>
    </row>
    <row r="48" spans="1:29" ht="15.75" thickBot="1">
      <c r="A48" s="36"/>
      <c r="B48" s="36" t="s">
        <v>193</v>
      </c>
      <c r="C48" s="36" t="s">
        <v>236</v>
      </c>
      <c r="D48" s="36"/>
      <c r="E48" s="206" t="s">
        <v>22</v>
      </c>
      <c r="F48" s="206" t="s">
        <v>23</v>
      </c>
      <c r="G48" s="206" t="s">
        <v>24</v>
      </c>
      <c r="H48" s="36"/>
      <c r="I48" s="278" t="s">
        <v>207</v>
      </c>
      <c r="J48" s="279"/>
      <c r="K48" s="278" t="s">
        <v>207</v>
      </c>
      <c r="L48" s="278" t="s">
        <v>128</v>
      </c>
      <c r="Q48" s="276" t="s">
        <v>22</v>
      </c>
      <c r="R48" s="277" t="s">
        <v>23</v>
      </c>
      <c r="S48" s="277" t="s">
        <v>24</v>
      </c>
      <c r="U48" s="216" t="s">
        <v>22</v>
      </c>
      <c r="V48" s="217" t="s">
        <v>23</v>
      </c>
      <c r="W48" s="217" t="s">
        <v>24</v>
      </c>
      <c r="Y48" s="216" t="s">
        <v>22</v>
      </c>
      <c r="Z48" s="217" t="s">
        <v>23</v>
      </c>
      <c r="AA48" s="217" t="s">
        <v>24</v>
      </c>
      <c r="AC48" t="s">
        <v>126</v>
      </c>
    </row>
    <row r="49" spans="1:31" ht="15.75" thickTop="1">
      <c r="A49" s="284" t="str">
        <f>C16</f>
        <v>21740S001</v>
      </c>
      <c r="B49" s="284"/>
      <c r="C49" s="284" t="str">
        <f>C18</f>
        <v>21740M001</v>
      </c>
      <c r="E49" s="1">
        <f>(E8-E10)*1000</f>
        <v>-28204.599999822676</v>
      </c>
      <c r="F49" s="1">
        <f>(F8-F10)*1000</f>
        <v>-34483.899999875575</v>
      </c>
      <c r="G49" s="1">
        <f>(G8-G10)*1000</f>
        <v>12342.399999964982</v>
      </c>
      <c r="I49" s="280">
        <f>I8</f>
        <v>7338</v>
      </c>
      <c r="J49" s="281"/>
      <c r="K49" s="280">
        <f>I10</f>
        <v>7339</v>
      </c>
      <c r="L49" s="280" t="s">
        <v>194</v>
      </c>
      <c r="Q49" s="275">
        <f>(Q8-Q10)*1000</f>
        <v>-28205.97447499221</v>
      </c>
      <c r="R49" s="275">
        <f>(R8-R10)*1000</f>
        <v>-34482.273389400667</v>
      </c>
      <c r="S49" s="275">
        <f>(S8-S10)*1000</f>
        <v>12344.038255021576</v>
      </c>
      <c r="U49" s="1">
        <f>E49-Q49</f>
        <v>1.3744751695339801</v>
      </c>
      <c r="V49" s="1">
        <f>F49-R49</f>
        <v>-1.6266104749083752</v>
      </c>
      <c r="W49" s="1">
        <f>G49-S49</f>
        <v>-1.6382550565940619</v>
      </c>
      <c r="Y49" s="1">
        <f>Q49-Q$69</f>
        <v>-1.3022995768333203</v>
      </c>
      <c r="Z49" s="1">
        <f>R49-R$69</f>
        <v>-0.20960787982767215</v>
      </c>
      <c r="AA49" s="1">
        <f>S49-S$69</f>
        <v>-8.9642147413542261E-3</v>
      </c>
      <c r="AC49" s="1">
        <f>_xlfn.STDEV.P(Y49:Y51)</f>
        <v>0.17304889030401727</v>
      </c>
      <c r="AD49" s="1">
        <f>_xlfn.STDEV.P(Z49:Z51)</f>
        <v>1.9915308693264251</v>
      </c>
      <c r="AE49" s="1">
        <f>_xlfn.STDEV.P(AA49:AA51)</f>
        <v>0.68584589473903179</v>
      </c>
    </row>
    <row r="50" spans="1:31">
      <c r="A50" s="285"/>
      <c r="B50" s="285"/>
      <c r="C50" s="285"/>
      <c r="D50" s="53"/>
      <c r="E50" s="214">
        <f>SQRT(E9^2+E11^2+F47^2)</f>
        <v>1.8520113170376287</v>
      </c>
      <c r="F50" s="214">
        <f>SQRT(F9^2+F11^2+G47^2)</f>
        <v>2.7543048494093871</v>
      </c>
      <c r="G50" s="214">
        <f>SQRT(G9^2+G11^2+H47^2)</f>
        <v>0.91672492675304906</v>
      </c>
      <c r="H50" s="53"/>
      <c r="I50" s="305"/>
      <c r="J50" s="283"/>
      <c r="K50" s="282"/>
      <c r="L50" s="282"/>
      <c r="Q50" s="274">
        <f>E50</f>
        <v>1.8520113170376287</v>
      </c>
      <c r="R50" s="274">
        <f>F50</f>
        <v>2.7543048494093871</v>
      </c>
      <c r="S50" s="274">
        <f>G50</f>
        <v>0.91672492675304906</v>
      </c>
    </row>
    <row r="51" spans="1:31">
      <c r="A51" s="284" t="str">
        <f>C12</f>
        <v>TATL</v>
      </c>
      <c r="B51" s="284"/>
      <c r="C51" s="284" t="str">
        <f>C18</f>
        <v>21740M001</v>
      </c>
      <c r="E51" s="1">
        <f>(E12-E10)*1000</f>
        <v>-9593.7000000849366</v>
      </c>
      <c r="F51" s="1">
        <f>(F12-F10)*1000</f>
        <v>-1502.1999999880791</v>
      </c>
      <c r="G51" s="1">
        <f t="shared" ref="G51:H51" si="1">(G12-G10)*1000</f>
        <v>-1326.3000003062189</v>
      </c>
      <c r="H51" s="1">
        <f t="shared" si="1"/>
        <v>0</v>
      </c>
      <c r="I51" s="306" t="str">
        <f>I12</f>
        <v>TATL</v>
      </c>
      <c r="J51" s="281"/>
      <c r="K51" s="280">
        <f>I10</f>
        <v>7339</v>
      </c>
      <c r="L51" s="280" t="s">
        <v>194</v>
      </c>
      <c r="N51" t="s">
        <v>196</v>
      </c>
      <c r="Q51" s="275">
        <f>(Q12-Q10)*1000</f>
        <v>-9593.9013702804859</v>
      </c>
      <c r="R51" s="275">
        <f>(R12-R10)*1000</f>
        <v>-1501.7080911248054</v>
      </c>
      <c r="S51" s="275">
        <f>(S12-S10)*1000</f>
        <v>-1325.9963788004866</v>
      </c>
      <c r="U51" s="1">
        <f>E51-Q51</f>
        <v>0.20137019554931612</v>
      </c>
      <c r="V51" s="1">
        <f>F51-R51</f>
        <v>-0.49190886327369299</v>
      </c>
      <c r="W51" s="1">
        <f>G51-S51</f>
        <v>-0.30362150573228064</v>
      </c>
      <c r="Y51" s="1">
        <f>Q51-Q71</f>
        <v>-1.648397357441354</v>
      </c>
      <c r="Z51" s="1">
        <f>R51-R71</f>
        <v>-4.1926696184805223</v>
      </c>
      <c r="AA51" s="1">
        <f>S51-S71</f>
        <v>1.3627275747367094</v>
      </c>
    </row>
    <row r="52" spans="1:31">
      <c r="A52" s="285"/>
      <c r="B52" s="285"/>
      <c r="C52" s="285"/>
      <c r="D52" s="53"/>
      <c r="E52" s="214">
        <f>SQRT(E11^2+E13^2+F47^2)</f>
        <v>1.8193256768471806</v>
      </c>
      <c r="F52" s="214">
        <f>SQRT(F11^2+F13^2+G47^2)</f>
        <v>2.759745496142727</v>
      </c>
      <c r="G52" s="214">
        <f>SQRT(G11^2+G13^2+H47^2)</f>
        <v>0.93294404512295548</v>
      </c>
      <c r="H52" s="53"/>
      <c r="I52" s="282"/>
      <c r="J52" s="283"/>
      <c r="K52" s="282"/>
      <c r="L52" s="282"/>
      <c r="Q52" s="274">
        <f>E52</f>
        <v>1.8193256768471806</v>
      </c>
      <c r="R52" s="274">
        <f>F52</f>
        <v>2.759745496142727</v>
      </c>
      <c r="S52" s="274">
        <f>G52</f>
        <v>0.93294404512295548</v>
      </c>
    </row>
    <row r="54" spans="1:31">
      <c r="E54" s="6" t="s">
        <v>241</v>
      </c>
      <c r="F54" s="6">
        <f>AC55</f>
        <v>0.45962058962049929</v>
      </c>
      <c r="G54" s="6">
        <f>AD55</f>
        <v>0.54936037168010898</v>
      </c>
      <c r="H54" s="6">
        <f>AE55</f>
        <v>0.51672743646531683</v>
      </c>
    </row>
    <row r="55" spans="1:31">
      <c r="A55" s="284" t="str">
        <f>C16</f>
        <v>21740S001</v>
      </c>
      <c r="B55" s="284"/>
      <c r="C55" s="284" t="str">
        <f>C18</f>
        <v>21740M001</v>
      </c>
      <c r="E55" s="1">
        <f>(E16-E18)*1000</f>
        <v>-28202.500000130385</v>
      </c>
      <c r="F55" s="1">
        <f>(F16-F18)*1000</f>
        <v>-34483.999999705702</v>
      </c>
      <c r="G55" s="1">
        <f>(G16-G18)*1000</f>
        <v>12341.000000014901</v>
      </c>
      <c r="I55" s="280">
        <f>I16</f>
        <v>7338</v>
      </c>
      <c r="J55" s="281"/>
      <c r="K55" s="280">
        <f>I18</f>
        <v>7339</v>
      </c>
      <c r="L55" s="280" t="s">
        <v>197</v>
      </c>
      <c r="Q55" s="275">
        <f>(Q16-Q18)*1000</f>
        <v>-28203.780833206994</v>
      </c>
      <c r="R55" s="275">
        <f>(R16-R18)*1000</f>
        <v>-34482.29254118228</v>
      </c>
      <c r="S55" s="275">
        <f>(S16-S18)*1000</f>
        <v>12342.61432772059</v>
      </c>
      <c r="U55" s="1">
        <f>E55-Q55</f>
        <v>1.2808330766092695</v>
      </c>
      <c r="V55" s="1">
        <f>F55-R55</f>
        <v>-1.7074585234222468</v>
      </c>
      <c r="W55" s="1">
        <f>G55-S55</f>
        <v>-1.6143277056889929</v>
      </c>
      <c r="Y55" s="1">
        <f>Q55-Q69</f>
        <v>0.89134220838241163</v>
      </c>
      <c r="Z55" s="1">
        <f>R55-R69</f>
        <v>-0.22875966144056292</v>
      </c>
      <c r="AA55" s="1">
        <f>S55-S69</f>
        <v>-1.4328915157275333</v>
      </c>
      <c r="AC55" s="1">
        <f>_xlfn.STDEV.P(Y55,Y57)</f>
        <v>0.45962058962049929</v>
      </c>
      <c r="AD55" s="1">
        <f>_xlfn.STDEV.P(Z55,Z57)</f>
        <v>0.54936037168010898</v>
      </c>
      <c r="AE55" s="1">
        <f>_xlfn.STDEV.P(AA55,AA57)</f>
        <v>0.51672743646531683</v>
      </c>
    </row>
    <row r="56" spans="1:31">
      <c r="A56" s="285"/>
      <c r="B56" s="285"/>
      <c r="C56" s="285"/>
      <c r="D56" s="53"/>
      <c r="E56" s="214">
        <f>SQRT(E19^2+E17^2+F$54^2)</f>
        <v>1.6190278213801934</v>
      </c>
      <c r="F56" s="214">
        <f>SQRT(F19^2+F17^2+G$54^2)</f>
        <v>1.9803527003977113</v>
      </c>
      <c r="G56" s="214">
        <f>SQRT(G19^2+G17^2+H$54^2)</f>
        <v>0.95760495173950422</v>
      </c>
      <c r="H56" s="53"/>
      <c r="I56" s="282"/>
      <c r="J56" s="283"/>
      <c r="K56" s="282"/>
      <c r="L56" s="282"/>
      <c r="Q56" s="274">
        <f>E56</f>
        <v>1.6190278213801934</v>
      </c>
      <c r="R56" s="274">
        <f>F56</f>
        <v>1.9803527003977113</v>
      </c>
      <c r="S56" s="274">
        <f>G56</f>
        <v>0.95760495173950422</v>
      </c>
    </row>
    <row r="57" spans="1:31">
      <c r="A57" s="284" t="str">
        <f>C20</f>
        <v>TATL</v>
      </c>
      <c r="B57" s="284"/>
      <c r="C57" s="284" t="str">
        <f>C18</f>
        <v>21740M001</v>
      </c>
      <c r="E57" s="1">
        <f>(E20-E18)*1000</f>
        <v>-9590.3000002726912</v>
      </c>
      <c r="F57" s="1">
        <f>(F20-F18)*1000</f>
        <v>-1497.0999998040497</v>
      </c>
      <c r="G57" s="1">
        <f>(G20-G18)*1000</f>
        <v>-1328.1000000424683</v>
      </c>
      <c r="I57" s="280" t="str">
        <f>I20</f>
        <v>TATL</v>
      </c>
      <c r="J57" s="281"/>
      <c r="K57" s="280">
        <f>I18</f>
        <v>7339</v>
      </c>
      <c r="L57" s="280" t="s">
        <v>197</v>
      </c>
      <c r="N57" t="s">
        <v>196</v>
      </c>
      <c r="Q57" s="275">
        <f>(Q20-Q18)*1000</f>
        <v>-9590.4423895354212</v>
      </c>
      <c r="R57" s="275">
        <f>(R20-R18)*1000</f>
        <v>-1496.6454604244052</v>
      </c>
      <c r="S57" s="275">
        <f>(S20-S18)*1000</f>
        <v>-1327.7585430180202</v>
      </c>
      <c r="U57" s="1">
        <f>E57-Q57</f>
        <v>0.14238926272992103</v>
      </c>
      <c r="V57" s="1">
        <f>F57-R57</f>
        <v>-0.45453937964452962</v>
      </c>
      <c r="W57" s="1">
        <f>G57-S57</f>
        <v>-0.34145702444811832</v>
      </c>
      <c r="Y57" s="1">
        <f>Q57-Q71</f>
        <v>1.8105833876234101</v>
      </c>
      <c r="Z57" s="1">
        <f>R57-R71</f>
        <v>0.86996108191965504</v>
      </c>
      <c r="AA57" s="1">
        <f>S57-S71</f>
        <v>-0.39943664279689983</v>
      </c>
    </row>
    <row r="58" spans="1:31">
      <c r="A58" s="285"/>
      <c r="B58" s="285"/>
      <c r="C58" s="285"/>
      <c r="D58" s="53"/>
      <c r="E58" s="214">
        <f>SQRT(E21^2+E19^2+F$54^2)</f>
        <v>1.581534408858402</v>
      </c>
      <c r="F58" s="214">
        <f>SQRT(F21^2+F19^2+G$54^2)</f>
        <v>1.9879126786588257</v>
      </c>
      <c r="G58" s="214">
        <f>SQRT(G21^2+G19^2+H$54^2)</f>
        <v>0.97314297181658671</v>
      </c>
      <c r="H58" s="53"/>
      <c r="I58" s="282"/>
      <c r="J58" s="283"/>
      <c r="K58" s="282"/>
      <c r="L58" s="282"/>
      <c r="Q58" s="274">
        <f>E58</f>
        <v>1.581534408858402</v>
      </c>
      <c r="R58" s="274">
        <f>F58</f>
        <v>1.9879126786588257</v>
      </c>
      <c r="S58" s="274">
        <f>G58</f>
        <v>0.97314297181658671</v>
      </c>
    </row>
    <row r="60" spans="1:31">
      <c r="E60" s="6" t="s">
        <v>241</v>
      </c>
      <c r="F60" s="6">
        <f>AC61</f>
        <v>0.69529976643025293</v>
      </c>
      <c r="G60" s="6">
        <f>AD61</f>
        <v>1.3930161783175663</v>
      </c>
      <c r="H60" s="6">
        <f>AE61</f>
        <v>1.8794100368698992</v>
      </c>
    </row>
    <row r="61" spans="1:31">
      <c r="A61" s="284" t="str">
        <f>C24</f>
        <v>21740S001</v>
      </c>
      <c r="B61" s="284"/>
      <c r="C61" s="284" t="str">
        <f>C26</f>
        <v>21740M001</v>
      </c>
      <c r="E61" s="1">
        <f>(E24-E26)*1000</f>
        <v>-28202.500000130385</v>
      </c>
      <c r="F61" s="1">
        <f>(F24-F26)*1000</f>
        <v>-34485.000000335276</v>
      </c>
      <c r="G61" s="1">
        <f>(G24-G26)*1000</f>
        <v>12340.799999888986</v>
      </c>
      <c r="I61" s="280">
        <f>I24</f>
        <v>7338</v>
      </c>
      <c r="J61" s="281"/>
      <c r="K61" s="280">
        <f>I26</f>
        <v>7339</v>
      </c>
      <c r="L61" s="280" t="s">
        <v>198</v>
      </c>
      <c r="Q61" s="275">
        <f>(Q24-Q26)*1000</f>
        <v>-28204.049249389951</v>
      </c>
      <c r="R61" s="275">
        <f>(R24-R26)*1000</f>
        <v>-34483.766975907281</v>
      </c>
      <c r="S61" s="275">
        <f>(S24-S26)*1000</f>
        <v>12342.459424515064</v>
      </c>
      <c r="U61" s="1">
        <f>E61-Q61</f>
        <v>1.5492492595658405</v>
      </c>
      <c r="V61" s="1">
        <f>F61-R61</f>
        <v>-1.2330244279946783</v>
      </c>
      <c r="W61" s="1">
        <f>G61-S61</f>
        <v>-1.6594246260774526</v>
      </c>
      <c r="Y61" s="1">
        <f>Q61-Q69</f>
        <v>0.62292602542584063</v>
      </c>
      <c r="Z61" s="1">
        <f>R61-R69</f>
        <v>-1.7031943864421919</v>
      </c>
      <c r="AA61" s="1">
        <f>S61-S69</f>
        <v>-1.5877947212538857</v>
      </c>
      <c r="AC61" s="1">
        <f>_xlfn.STDEV.P(Y61,Y65)</f>
        <v>0.69529976643025293</v>
      </c>
      <c r="AD61" s="1">
        <f>_xlfn.STDEV.P(Z61,Z65)</f>
        <v>1.3930161783175663</v>
      </c>
      <c r="AE61" s="1">
        <f>_xlfn.STDEV.P(AA61,AA65)</f>
        <v>1.8794100368698992</v>
      </c>
    </row>
    <row r="62" spans="1:31">
      <c r="A62" s="285"/>
      <c r="B62" s="285"/>
      <c r="C62" s="285"/>
      <c r="D62" s="53"/>
      <c r="E62" s="214">
        <f>SQRT(E25^2+E27^2+F$47^2)</f>
        <v>1.4662693880850992</v>
      </c>
      <c r="F62" s="214">
        <f>SQRT(F25^2+F27^2+G$47^2)</f>
        <v>2.6203425736876591</v>
      </c>
      <c r="G62" s="214">
        <f>SQRT(G25^2+G27^2+H$47^2)</f>
        <v>0.91672492675304906</v>
      </c>
      <c r="H62" s="53"/>
      <c r="I62" s="282"/>
      <c r="J62" s="283"/>
      <c r="K62" s="282"/>
      <c r="L62" s="282"/>
      <c r="Q62" s="274">
        <f>E62</f>
        <v>1.4662693880850992</v>
      </c>
      <c r="R62" s="274">
        <f>F62</f>
        <v>2.6203425736876591</v>
      </c>
      <c r="S62" s="274">
        <f>G62</f>
        <v>0.91672492675304906</v>
      </c>
    </row>
    <row r="63" spans="1:31">
      <c r="A63" s="284" t="str">
        <f>C28</f>
        <v>21740S002</v>
      </c>
      <c r="B63" s="284"/>
      <c r="C63" s="284" t="str">
        <f>C26</f>
        <v>21740M001</v>
      </c>
      <c r="E63" s="1">
        <f>(E28-E26)*1000</f>
        <v>-14689.900000113994</v>
      </c>
      <c r="F63" s="1">
        <f>(F28-F26)*1000</f>
        <v>-1384.8000001162291</v>
      </c>
      <c r="G63" s="1">
        <f>(G28-G26)*1000</f>
        <v>-3949.1000003181398</v>
      </c>
      <c r="I63" s="280">
        <f>I28</f>
        <v>0</v>
      </c>
      <c r="J63" s="281"/>
      <c r="K63" s="280">
        <f>I26</f>
        <v>7339</v>
      </c>
      <c r="L63" s="280" t="s">
        <v>198</v>
      </c>
      <c r="N63" t="s">
        <v>196</v>
      </c>
      <c r="Q63" s="275">
        <f>(Q28-Q26)*1000</f>
        <v>-14690.345637225628</v>
      </c>
      <c r="R63" s="275">
        <f>(R28-R26)*1000</f>
        <v>-1384.5088330558824</v>
      </c>
      <c r="S63" s="275">
        <f>(S28-S26)*1000</f>
        <v>-3948.5021952071684</v>
      </c>
      <c r="U63" s="1">
        <f>E63-Q63</f>
        <v>0.44563711163391417</v>
      </c>
      <c r="V63" s="1">
        <f>F63-R63</f>
        <v>-0.29116706034665185</v>
      </c>
      <c r="W63" s="1">
        <f>G63-S63</f>
        <v>-0.59780511097142153</v>
      </c>
      <c r="Y63" s="1"/>
      <c r="Z63" s="1"/>
      <c r="AA63" s="1"/>
    </row>
    <row r="64" spans="1:31">
      <c r="A64" s="285"/>
      <c r="B64" s="285"/>
      <c r="C64" s="285"/>
      <c r="D64" s="53"/>
      <c r="E64" s="214">
        <f>SQRT(E27^2+E29^2+F$60^2)</f>
        <v>1.5758939574723816</v>
      </c>
      <c r="F64" s="214">
        <f>SQRT(F27^2+F29^2+G$60^2)</f>
        <v>2.2069195891682316</v>
      </c>
      <c r="G64" s="214">
        <f>SQRT(G27^2+G29^2+H$60^2)</f>
        <v>1.9829730423501262</v>
      </c>
      <c r="H64" s="53"/>
      <c r="I64" s="282"/>
      <c r="J64" s="283"/>
      <c r="K64" s="282"/>
      <c r="L64" s="282"/>
      <c r="Q64" s="274">
        <f>E64</f>
        <v>1.5758939574723816</v>
      </c>
      <c r="R64" s="274">
        <f>F64</f>
        <v>2.2069195891682316</v>
      </c>
      <c r="S64" s="274">
        <f>G64</f>
        <v>1.9829730423501262</v>
      </c>
    </row>
    <row r="65" spans="1:31">
      <c r="A65" s="284" t="str">
        <f>C30</f>
        <v>TATL</v>
      </c>
      <c r="B65" s="284"/>
      <c r="C65" s="284" t="str">
        <f>C26</f>
        <v>21740M001</v>
      </c>
      <c r="E65" s="1">
        <f>(E30-E26)*1000</f>
        <v>-9592.6000000908971</v>
      </c>
      <c r="F65" s="1">
        <f>(F30-F26)*1000</f>
        <v>-1496.5000003576279</v>
      </c>
      <c r="G65" s="1">
        <f>(G30-G26)*1000</f>
        <v>-1325.6000000983477</v>
      </c>
      <c r="I65" s="280" t="str">
        <f>I30</f>
        <v>TATL</v>
      </c>
      <c r="J65" s="281"/>
      <c r="K65" s="280">
        <f>I26</f>
        <v>7339</v>
      </c>
      <c r="L65" s="280" t="s">
        <v>198</v>
      </c>
      <c r="N65" t="s">
        <v>196</v>
      </c>
      <c r="Q65" s="275">
        <f>(Q30-Q26)*1000</f>
        <v>-9593.0206464304792</v>
      </c>
      <c r="R65" s="275">
        <f>(R30-R26)*1000</f>
        <v>-1496.4325835361319</v>
      </c>
      <c r="S65" s="275">
        <f>(S30-S26)*1000</f>
        <v>-1325.1880810227374</v>
      </c>
      <c r="U65" s="1">
        <f>E65-Q65</f>
        <v>0.42064633958216291</v>
      </c>
      <c r="V65" s="1">
        <f>F65-R65</f>
        <v>-6.7416821495953627E-2</v>
      </c>
      <c r="W65" s="1">
        <f>G65-S65</f>
        <v>-0.41191907561028529</v>
      </c>
      <c r="Y65" s="1">
        <f>Q65-Q71</f>
        <v>-0.76767350743466523</v>
      </c>
      <c r="Z65" s="1">
        <f>R65-R71</f>
        <v>1.0828379701929407</v>
      </c>
      <c r="AA65" s="1">
        <f>S65-S71</f>
        <v>2.1710253524859127</v>
      </c>
    </row>
    <row r="66" spans="1:31">
      <c r="A66" s="285"/>
      <c r="B66" s="285"/>
      <c r="C66" s="285"/>
      <c r="D66" s="53"/>
      <c r="E66" s="214">
        <f>SQRT(E31^2+E27^2+F$60^2)</f>
        <v>1.5758939574723816</v>
      </c>
      <c r="F66" s="214">
        <f>SQRT(F31^2+F27^2+G$60^2)</f>
        <v>2.2069195891682316</v>
      </c>
      <c r="G66" s="214">
        <f>SQRT(G31^2+G27^2+H$60^2)</f>
        <v>1.9829730423501262</v>
      </c>
      <c r="H66" s="53"/>
      <c r="I66" s="282"/>
      <c r="J66" s="283"/>
      <c r="K66" s="282"/>
      <c r="L66" s="282"/>
      <c r="Q66" s="274">
        <f>E66</f>
        <v>1.5758939574723816</v>
      </c>
      <c r="R66" s="274">
        <f>F66</f>
        <v>2.2069195891682316</v>
      </c>
      <c r="S66" s="274">
        <f>G66</f>
        <v>1.9829730423501262</v>
      </c>
    </row>
    <row r="68" spans="1:31">
      <c r="E68" s="6" t="s">
        <v>241</v>
      </c>
      <c r="F68" s="6">
        <f>F60</f>
        <v>0.69529976643025293</v>
      </c>
      <c r="G68" s="6">
        <f>G60</f>
        <v>1.3930161783175663</v>
      </c>
      <c r="H68" s="6">
        <f>H60</f>
        <v>1.8794100368698992</v>
      </c>
    </row>
    <row r="69" spans="1:31">
      <c r="A69" s="284" t="str">
        <f>C34</f>
        <v>21740S001</v>
      </c>
      <c r="B69" s="284"/>
      <c r="C69" s="284" t="str">
        <f>C36</f>
        <v>21740M001</v>
      </c>
      <c r="E69" s="1">
        <f>(E34-E36)*1000</f>
        <v>-28203.299999702722</v>
      </c>
      <c r="F69" s="1">
        <f>(F34-F36)*1000</f>
        <v>-34483.700000215322</v>
      </c>
      <c r="G69" s="1">
        <f>(G34-G36)*1000</f>
        <v>12342.399999964982</v>
      </c>
      <c r="I69" s="280">
        <f>I34</f>
        <v>7338</v>
      </c>
      <c r="J69" s="281"/>
      <c r="K69" s="280">
        <f>I36</f>
        <v>7339</v>
      </c>
      <c r="L69" s="280" t="s">
        <v>199</v>
      </c>
      <c r="Q69" s="275">
        <f>(Q34-Q36)*1000</f>
        <v>-28204.672175415377</v>
      </c>
      <c r="R69" s="275">
        <f>(R34-R36)*1000</f>
        <v>-34482.063781520839</v>
      </c>
      <c r="S69" s="275">
        <f>(S34-S36)*1000</f>
        <v>12344.047219236318</v>
      </c>
      <c r="U69" s="1">
        <f>E69-Q69</f>
        <v>1.3721757126550074</v>
      </c>
      <c r="V69" s="1">
        <f>F69-R69</f>
        <v>-1.6362186944825226</v>
      </c>
      <c r="W69" s="1">
        <f>G69-S69</f>
        <v>-1.6472192713354161</v>
      </c>
      <c r="Y69" s="1"/>
      <c r="Z69" s="1"/>
      <c r="AA69" s="1"/>
      <c r="AC69" s="1"/>
      <c r="AD69" s="1"/>
      <c r="AE69" s="1"/>
    </row>
    <row r="70" spans="1:31">
      <c r="A70" s="285"/>
      <c r="B70" s="285"/>
      <c r="C70" s="285"/>
      <c r="D70" s="53"/>
      <c r="E70" s="214">
        <f>SQRT(E35^2+E37^2+F$68^2)</f>
        <v>1.6135184427820972</v>
      </c>
      <c r="F70" s="214">
        <f>SQRT(F35^2+F37^2+G$68^2)</f>
        <v>2.2001122864650515</v>
      </c>
      <c r="G70" s="214">
        <f>SQRT(G35^2+G37^2+H$68^2)</f>
        <v>1.9753941598292013</v>
      </c>
      <c r="H70" s="53"/>
      <c r="I70" s="282"/>
      <c r="J70" s="283"/>
      <c r="K70" s="282"/>
      <c r="L70" s="282"/>
      <c r="Q70" s="274">
        <f>E70</f>
        <v>1.6135184427820972</v>
      </c>
      <c r="R70" s="274">
        <f>F70</f>
        <v>2.2001122864650515</v>
      </c>
      <c r="S70" s="274">
        <f>G70</f>
        <v>1.9753941598292013</v>
      </c>
    </row>
    <row r="71" spans="1:31">
      <c r="A71" s="284" t="str">
        <f>C38</f>
        <v>TATL</v>
      </c>
      <c r="B71" s="284"/>
      <c r="C71" s="284" t="str">
        <f>C36</f>
        <v>21740M001</v>
      </c>
      <c r="E71" s="1">
        <f>(E38-E36)*1000</f>
        <v>-9592.499999795109</v>
      </c>
      <c r="F71" s="1">
        <f>(F38-F36)*1000</f>
        <v>-1497.4000002257526</v>
      </c>
      <c r="G71" s="1">
        <f>(G38-G36)*1000</f>
        <v>-1327.1999997086823</v>
      </c>
      <c r="I71" s="280" t="str">
        <f>I38</f>
        <v>TATL</v>
      </c>
      <c r="J71" s="281"/>
      <c r="K71" s="280">
        <f>I36</f>
        <v>7339</v>
      </c>
      <c r="L71" s="280" t="s">
        <v>199</v>
      </c>
      <c r="N71" t="s">
        <v>196</v>
      </c>
      <c r="Q71" s="275">
        <f>(Q38-Q36)*1000</f>
        <v>-9592.2529729230446</v>
      </c>
      <c r="R71" s="275">
        <f>(R38-R36)*1000</f>
        <v>-1497.5154215063249</v>
      </c>
      <c r="S71" s="275">
        <f>(S38-S36)*1000</f>
        <v>-1327.3591063752233</v>
      </c>
      <c r="U71" s="1">
        <f>E71-Q71</f>
        <v>-0.24702687206445262</v>
      </c>
      <c r="V71" s="1">
        <f>F71-R71</f>
        <v>0.11542128057226364</v>
      </c>
      <c r="W71" s="1">
        <f>G71-S71</f>
        <v>0.15910666654099259</v>
      </c>
      <c r="Y71" s="1"/>
      <c r="Z71" s="1"/>
      <c r="AA71" s="1"/>
    </row>
    <row r="72" spans="1:31">
      <c r="A72" s="285"/>
      <c r="B72" s="285"/>
      <c r="C72" s="285"/>
      <c r="D72" s="53"/>
      <c r="E72" s="214">
        <f>SQRT(E39^2+E37^2+F$68^2)</f>
        <v>1.5758939574723816</v>
      </c>
      <c r="F72" s="214">
        <f>SQRT(F39^2+F37^2+G$68^2)</f>
        <v>2.2069195891682316</v>
      </c>
      <c r="G72" s="214">
        <f>SQRT(G39^2+G37^2+H$68^2)</f>
        <v>1.9829730423501262</v>
      </c>
      <c r="H72" s="53"/>
      <c r="I72" s="282"/>
      <c r="J72" s="283"/>
      <c r="K72" s="282"/>
      <c r="L72" s="282"/>
      <c r="Q72" s="274">
        <f>E72</f>
        <v>1.5758939574723816</v>
      </c>
      <c r="R72" s="274">
        <f>F72</f>
        <v>2.2069195891682316</v>
      </c>
      <c r="S72" s="274">
        <f>G72</f>
        <v>1.9829730423501262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56356-AE0C-45FF-B360-F87244871A07}">
  <dimension ref="A1:AH89"/>
  <sheetViews>
    <sheetView topLeftCell="A58" workbookViewId="0">
      <selection activeCell="G87" sqref="G87"/>
    </sheetView>
  </sheetViews>
  <sheetFormatPr defaultRowHeight="15"/>
  <cols>
    <col min="1" max="1" width="11.42578125" customWidth="1"/>
    <col min="2" max="2" width="5.7109375" customWidth="1"/>
    <col min="3" max="3" width="12.28515625" customWidth="1"/>
    <col min="5" max="5" width="18.28515625" style="1" customWidth="1"/>
    <col min="6" max="7" width="15.42578125" style="1" customWidth="1"/>
    <col min="8" max="8" width="8.85546875" customWidth="1"/>
    <col min="9" max="9" width="7.85546875" style="200" customWidth="1"/>
    <col min="10" max="10" width="3.85546875" style="9" customWidth="1"/>
    <col min="11" max="11" width="9.5703125" style="200" bestFit="1" customWidth="1"/>
    <col min="12" max="12" width="9.140625" style="200"/>
    <col min="15" max="16" width="11.42578125" customWidth="1"/>
    <col min="23" max="23" width="12" bestFit="1" customWidth="1"/>
    <col min="29" max="31" width="6.28515625" customWidth="1"/>
  </cols>
  <sheetData>
    <row r="1" spans="1:34" ht="15.75" thickBot="1">
      <c r="C1" t="s">
        <v>178</v>
      </c>
      <c r="D1" t="s">
        <v>177</v>
      </c>
      <c r="P1" s="249" t="s">
        <v>215</v>
      </c>
      <c r="W1" t="s">
        <v>216</v>
      </c>
      <c r="Y1" s="54" t="s">
        <v>217</v>
      </c>
      <c r="Z1" s="54" t="s">
        <v>218</v>
      </c>
      <c r="AA1" s="54"/>
      <c r="AF1" t="s">
        <v>223</v>
      </c>
    </row>
    <row r="2" spans="1:34">
      <c r="P2" s="249"/>
      <c r="X2" s="2" t="s">
        <v>181</v>
      </c>
      <c r="Y2" s="2">
        <v>16.399999999999999</v>
      </c>
      <c r="Z2" s="2">
        <v>-24.3</v>
      </c>
      <c r="AA2" s="2" t="s">
        <v>219</v>
      </c>
      <c r="AB2" s="2">
        <f>RADIANS(Y2/3600)</f>
        <v>7.9509443701963883E-5</v>
      </c>
      <c r="AC2" s="2">
        <f>RADIANS(Z2/3600)</f>
        <v>-1.1780972450961724E-4</v>
      </c>
      <c r="AD2" s="2" t="s">
        <v>220</v>
      </c>
      <c r="AF2" s="17">
        <v>1</v>
      </c>
      <c r="AG2" s="18">
        <v>0</v>
      </c>
      <c r="AH2" s="19">
        <f>-AF4</f>
        <v>24.3</v>
      </c>
    </row>
    <row r="3" spans="1:34">
      <c r="P3" s="249"/>
      <c r="X3" s="2" t="s">
        <v>187</v>
      </c>
      <c r="Y3" s="2">
        <v>11.4</v>
      </c>
      <c r="Z3" s="2">
        <v>-17.399999999999999</v>
      </c>
      <c r="AA3" s="2" t="s">
        <v>219</v>
      </c>
      <c r="AB3" s="2">
        <f t="shared" ref="AB3:AC5" si="0">RADIANS(Y3/3600)</f>
        <v>5.5268759646487099E-5</v>
      </c>
      <c r="AC3" s="2">
        <f t="shared" si="0"/>
        <v>-8.4357580513059246E-5</v>
      </c>
      <c r="AD3" s="2" t="s">
        <v>220</v>
      </c>
      <c r="AF3" s="20">
        <v>0</v>
      </c>
      <c r="AG3" s="2">
        <v>1</v>
      </c>
      <c r="AH3" s="21">
        <f>-AG4</f>
        <v>-16.399999999999999</v>
      </c>
    </row>
    <row r="4" spans="1:34" ht="15.75" thickBot="1">
      <c r="P4" s="249"/>
      <c r="X4" s="2" t="s">
        <v>221</v>
      </c>
      <c r="Y4" s="2">
        <v>-1.9</v>
      </c>
      <c r="Z4" s="2">
        <v>-9.3000000000000007</v>
      </c>
      <c r="AA4" s="2" t="s">
        <v>219</v>
      </c>
      <c r="AB4" s="2">
        <f t="shared" si="0"/>
        <v>-9.2114599410811831E-6</v>
      </c>
      <c r="AC4" s="2">
        <f t="shared" si="0"/>
        <v>-4.5087672343186846E-5</v>
      </c>
      <c r="AD4" s="2" t="s">
        <v>220</v>
      </c>
      <c r="AF4" s="22">
        <f>Z2</f>
        <v>-24.3</v>
      </c>
      <c r="AG4" s="23">
        <f>Y2</f>
        <v>16.399999999999999</v>
      </c>
      <c r="AH4" s="24">
        <v>1</v>
      </c>
    </row>
    <row r="5" spans="1:34">
      <c r="C5" t="s">
        <v>180</v>
      </c>
      <c r="D5" t="s">
        <v>181</v>
      </c>
      <c r="Q5" t="s">
        <v>213</v>
      </c>
      <c r="U5" t="s">
        <v>181</v>
      </c>
      <c r="X5" s="2" t="s">
        <v>222</v>
      </c>
      <c r="Y5" s="2">
        <v>-4.5</v>
      </c>
      <c r="Z5" s="2">
        <v>13.6</v>
      </c>
      <c r="AA5" s="2" t="s">
        <v>219</v>
      </c>
      <c r="AB5" s="2">
        <f t="shared" si="0"/>
        <v>-2.1816615649929121E-5</v>
      </c>
      <c r="AC5" s="2">
        <f t="shared" si="0"/>
        <v>6.5934660630896893E-5</v>
      </c>
      <c r="AD5" s="2" t="s">
        <v>220</v>
      </c>
    </row>
    <row r="6" spans="1:34">
      <c r="A6" s="2"/>
      <c r="B6" s="2"/>
      <c r="C6" s="2" t="s">
        <v>179</v>
      </c>
      <c r="D6" s="2"/>
      <c r="E6" s="6"/>
      <c r="F6" s="6"/>
      <c r="G6" s="6"/>
      <c r="H6" s="2"/>
      <c r="I6" s="201" t="s">
        <v>184</v>
      </c>
      <c r="J6" s="194"/>
      <c r="K6" s="201"/>
      <c r="L6" s="201"/>
    </row>
    <row r="7" spans="1:34" ht="15.75" thickBot="1">
      <c r="A7" s="60"/>
      <c r="B7" s="60"/>
      <c r="C7" s="60"/>
      <c r="D7" s="60"/>
      <c r="E7" s="216" t="s">
        <v>22</v>
      </c>
      <c r="F7" s="217" t="s">
        <v>23</v>
      </c>
      <c r="G7" s="217" t="s">
        <v>24</v>
      </c>
      <c r="H7" s="218"/>
      <c r="I7" s="219"/>
      <c r="J7" s="113"/>
      <c r="K7" s="219" t="s">
        <v>183</v>
      </c>
      <c r="L7" s="219" t="s">
        <v>182</v>
      </c>
      <c r="O7" t="s">
        <v>214</v>
      </c>
      <c r="P7" t="s">
        <v>207</v>
      </c>
      <c r="Q7" s="216" t="s">
        <v>22</v>
      </c>
      <c r="R7" s="217" t="s">
        <v>23</v>
      </c>
      <c r="S7" s="217" t="s">
        <v>24</v>
      </c>
      <c r="U7" s="219" t="s">
        <v>183</v>
      </c>
      <c r="V7" s="219" t="s">
        <v>182</v>
      </c>
    </row>
    <row r="8" spans="1:34" ht="15.75" thickTop="1">
      <c r="A8" s="56" t="s">
        <v>25</v>
      </c>
      <c r="B8" s="56"/>
      <c r="C8" s="56" t="s">
        <v>172</v>
      </c>
      <c r="D8" s="56"/>
      <c r="E8" s="50">
        <v>-3997505.6472</v>
      </c>
      <c r="F8" s="50">
        <v>3276878.3757000002</v>
      </c>
      <c r="G8" s="50">
        <v>3724240.6880000001</v>
      </c>
      <c r="H8" s="50"/>
      <c r="I8" s="220">
        <v>7334</v>
      </c>
      <c r="J8" s="221"/>
      <c r="K8" s="220">
        <v>1996</v>
      </c>
      <c r="L8" s="220">
        <v>275</v>
      </c>
      <c r="N8" t="str">
        <f>A8</f>
        <v>Kas11-CP0</v>
      </c>
      <c r="O8" t="str">
        <f>C8</f>
        <v>21701S006</v>
      </c>
      <c r="P8" s="248">
        <f>I8</f>
        <v>7334</v>
      </c>
      <c r="Q8" s="250">
        <f>H11kas!AX13</f>
        <v>-22.584435863200778</v>
      </c>
      <c r="R8" s="250">
        <f>H11kas!AY13</f>
        <v>51.008274999916992</v>
      </c>
      <c r="S8" s="250">
        <f>H11kas!AZ13</f>
        <v>-74.265021519732784</v>
      </c>
      <c r="U8" s="248">
        <f>K8</f>
        <v>1996</v>
      </c>
      <c r="V8" s="248">
        <f>L8</f>
        <v>275</v>
      </c>
    </row>
    <row r="9" spans="1:34">
      <c r="A9" s="2"/>
      <c r="B9" s="2"/>
      <c r="C9" s="2"/>
      <c r="D9" s="2"/>
      <c r="E9" s="6">
        <v>0.6</v>
      </c>
      <c r="F9" s="6">
        <v>1</v>
      </c>
      <c r="G9" s="6">
        <v>0.3</v>
      </c>
      <c r="H9" s="2"/>
      <c r="I9" s="201"/>
      <c r="J9" s="194"/>
      <c r="K9" s="201"/>
      <c r="L9" s="201"/>
      <c r="N9" t="s">
        <v>185</v>
      </c>
      <c r="Q9" s="2"/>
      <c r="R9" s="2"/>
      <c r="S9" s="2"/>
      <c r="T9" s="2"/>
      <c r="U9" s="2"/>
      <c r="V9" s="2"/>
    </row>
    <row r="10" spans="1:34">
      <c r="A10" s="14" t="s">
        <v>139</v>
      </c>
      <c r="B10" s="14"/>
      <c r="C10" s="2" t="s">
        <v>201</v>
      </c>
      <c r="D10" s="2"/>
      <c r="E10" s="124">
        <v>-3997484.3114</v>
      </c>
      <c r="F10" s="124">
        <v>3276846.8459999999</v>
      </c>
      <c r="G10" s="124">
        <v>3724296.5948000001</v>
      </c>
      <c r="H10" s="2"/>
      <c r="I10" s="201">
        <v>7335</v>
      </c>
      <c r="J10" s="194"/>
      <c r="K10" s="202">
        <v>1996</v>
      </c>
      <c r="L10" s="202">
        <v>275</v>
      </c>
      <c r="N10" t="str">
        <f>A10</f>
        <v>SLR-S2(RT)</v>
      </c>
      <c r="O10" t="str">
        <f>C10</f>
        <v>21701M002</v>
      </c>
      <c r="P10" s="248">
        <f>I10</f>
        <v>7335</v>
      </c>
      <c r="Q10" s="2">
        <f>H11kas!AX12</f>
        <v>-1.2514250858373959</v>
      </c>
      <c r="R10" s="2">
        <f>H11kas!AY12</f>
        <v>19.480306739166352</v>
      </c>
      <c r="S10" s="2">
        <f>H11kas!AZ12</f>
        <v>-18.356144374768476</v>
      </c>
      <c r="T10" s="2"/>
      <c r="U10" s="251">
        <f>K10</f>
        <v>1996</v>
      </c>
      <c r="V10" s="251">
        <f>L10</f>
        <v>275</v>
      </c>
    </row>
    <row r="11" spans="1:34">
      <c r="A11" s="2"/>
      <c r="B11" s="2"/>
      <c r="C11" s="2"/>
      <c r="D11" s="2"/>
      <c r="E11" s="6">
        <v>0.1</v>
      </c>
      <c r="F11" s="6">
        <v>0.1</v>
      </c>
      <c r="G11" s="6">
        <v>0.1</v>
      </c>
      <c r="H11" s="2"/>
      <c r="I11" s="201"/>
      <c r="J11" s="194"/>
      <c r="K11" s="201"/>
      <c r="L11" s="201"/>
      <c r="N11" t="s">
        <v>185</v>
      </c>
      <c r="Q11" s="2"/>
      <c r="R11" s="2"/>
      <c r="S11" s="2"/>
      <c r="T11" s="2"/>
      <c r="U11" s="2"/>
      <c r="V11" s="2"/>
    </row>
    <row r="12" spans="1:34">
      <c r="A12" s="14" t="s">
        <v>32</v>
      </c>
      <c r="B12" s="2"/>
      <c r="C12" s="195" t="s">
        <v>203</v>
      </c>
      <c r="D12" s="2"/>
      <c r="E12" s="14">
        <v>-3997483.5082</v>
      </c>
      <c r="F12" s="14">
        <v>3276844.2097999998</v>
      </c>
      <c r="G12" s="14">
        <v>3724307.3103999998</v>
      </c>
      <c r="H12" s="2"/>
      <c r="I12" s="195" t="s">
        <v>203</v>
      </c>
      <c r="J12" s="194"/>
      <c r="K12" s="202">
        <v>1996</v>
      </c>
      <c r="L12" s="202">
        <v>275</v>
      </c>
      <c r="N12" t="str">
        <f>A12</f>
        <v>SLR-CP0</v>
      </c>
      <c r="O12" t="str">
        <f>C12</f>
        <v>KASL</v>
      </c>
      <c r="P12" s="248" t="str">
        <f>I12</f>
        <v>KASL</v>
      </c>
      <c r="Q12" s="2">
        <f>H11kas!AX10</f>
        <v>-0.44914980025142937</v>
      </c>
      <c r="R12" s="2">
        <f>H11kas!AY10</f>
        <v>16.844287316766902</v>
      </c>
      <c r="S12" s="2">
        <f>H11kas!AZ10</f>
        <v>-7.6404004449933129</v>
      </c>
      <c r="T12" s="2"/>
      <c r="U12" s="251">
        <f>K12</f>
        <v>1996</v>
      </c>
      <c r="V12" s="251">
        <f>L12</f>
        <v>275</v>
      </c>
    </row>
    <row r="13" spans="1:34">
      <c r="A13" s="2"/>
      <c r="B13" s="2"/>
      <c r="C13" s="2"/>
      <c r="D13" s="2"/>
      <c r="E13" s="6">
        <v>0.1</v>
      </c>
      <c r="F13" s="6">
        <v>0.1</v>
      </c>
      <c r="G13" s="6">
        <v>0.1</v>
      </c>
      <c r="H13" s="2"/>
      <c r="I13" s="201"/>
      <c r="J13" s="194"/>
      <c r="K13" s="201"/>
      <c r="L13" s="201"/>
    </row>
    <row r="15" spans="1:34" ht="15.75" thickBot="1">
      <c r="Q15" s="216" t="s">
        <v>22</v>
      </c>
      <c r="R15" s="217" t="s">
        <v>23</v>
      </c>
      <c r="S15" s="217" t="s">
        <v>24</v>
      </c>
    </row>
    <row r="16" spans="1:34" ht="15.75" thickTop="1">
      <c r="A16" s="2" t="s">
        <v>25</v>
      </c>
      <c r="B16" s="2"/>
      <c r="C16" s="2" t="s">
        <v>172</v>
      </c>
      <c r="D16" s="2"/>
      <c r="E16" s="14">
        <v>-3997505.6452000001</v>
      </c>
      <c r="F16" s="14">
        <v>3276878.3755000001</v>
      </c>
      <c r="G16" s="14">
        <v>3724240.6893000002</v>
      </c>
      <c r="H16" s="2"/>
      <c r="I16" s="202">
        <v>7334</v>
      </c>
      <c r="J16" s="203"/>
      <c r="K16" s="202">
        <v>1997</v>
      </c>
      <c r="L16" s="202">
        <v>275</v>
      </c>
      <c r="N16" t="str">
        <f>A16</f>
        <v>Kas11-CP0</v>
      </c>
      <c r="O16" t="str">
        <f>C16</f>
        <v>21701S006</v>
      </c>
      <c r="P16" s="251">
        <f>I16</f>
        <v>7334</v>
      </c>
      <c r="Q16" s="2">
        <f>H11kas!AT13</f>
        <v>-22.582392205674886</v>
      </c>
      <c r="R16" s="2">
        <f>H11kas!AU13</f>
        <v>51.008022215130474</v>
      </c>
      <c r="S16" s="2">
        <f>H11kas!AV13</f>
        <v>-74.263813395624183</v>
      </c>
      <c r="U16" s="251">
        <f>K16</f>
        <v>1997</v>
      </c>
      <c r="V16" s="251">
        <f>L16</f>
        <v>275</v>
      </c>
    </row>
    <row r="17" spans="1:22">
      <c r="A17" s="2"/>
      <c r="B17" s="2"/>
      <c r="C17" s="2"/>
      <c r="D17" s="2"/>
      <c r="E17" s="6">
        <v>0.6</v>
      </c>
      <c r="F17" s="6">
        <v>1</v>
      </c>
      <c r="G17" s="6">
        <v>0.3</v>
      </c>
      <c r="H17" s="2"/>
      <c r="I17" s="201"/>
      <c r="J17" s="194"/>
      <c r="K17" s="201"/>
      <c r="L17" s="201"/>
      <c r="N17" t="s">
        <v>185</v>
      </c>
      <c r="P17" s="2"/>
      <c r="Q17" s="2"/>
      <c r="R17" s="2"/>
      <c r="S17" s="2"/>
    </row>
    <row r="18" spans="1:22">
      <c r="A18" s="14" t="s">
        <v>139</v>
      </c>
      <c r="B18" s="14"/>
      <c r="C18" s="2" t="s">
        <v>201</v>
      </c>
      <c r="D18" s="2"/>
      <c r="E18" s="124">
        <v>-3997484.3114</v>
      </c>
      <c r="F18" s="124">
        <v>3276846.8457999998</v>
      </c>
      <c r="G18" s="124">
        <v>3724296.5948999999</v>
      </c>
      <c r="H18" s="2"/>
      <c r="I18" s="201">
        <v>7335</v>
      </c>
      <c r="J18" s="194"/>
      <c r="K18" s="202">
        <v>1997</v>
      </c>
      <c r="L18" s="202">
        <v>275</v>
      </c>
      <c r="N18" t="str">
        <f>A18</f>
        <v>SLR-S2(RT)</v>
      </c>
      <c r="O18" t="str">
        <f>C18</f>
        <v>21701M002</v>
      </c>
      <c r="P18" s="251">
        <f>I18</f>
        <v>7335</v>
      </c>
      <c r="Q18" s="2">
        <f>H11kas!AT12</f>
        <v>-1.2513350505214371</v>
      </c>
      <c r="R18" s="2">
        <f>H11kas!AU12</f>
        <v>19.480103646692545</v>
      </c>
      <c r="S18" s="2">
        <f>H11kas!AV12</f>
        <v>-18.356041190035203</v>
      </c>
      <c r="U18" s="251">
        <f>K18</f>
        <v>1997</v>
      </c>
      <c r="V18" s="251">
        <f>L18</f>
        <v>275</v>
      </c>
    </row>
    <row r="19" spans="1:22">
      <c r="A19" s="2"/>
      <c r="B19" s="2"/>
      <c r="C19" s="2"/>
      <c r="D19" s="2"/>
      <c r="E19" s="6">
        <v>0.1</v>
      </c>
      <c r="F19" s="6">
        <v>0.1</v>
      </c>
      <c r="G19" s="6">
        <v>0.1</v>
      </c>
      <c r="H19" s="2"/>
      <c r="I19" s="201"/>
      <c r="J19" s="194"/>
      <c r="K19" s="201"/>
      <c r="L19" s="201"/>
      <c r="N19" t="s">
        <v>185</v>
      </c>
      <c r="P19" s="2"/>
      <c r="Q19" s="2"/>
      <c r="R19" s="2"/>
      <c r="S19" s="2"/>
    </row>
    <row r="20" spans="1:22">
      <c r="A20" s="14" t="s">
        <v>32</v>
      </c>
      <c r="B20" s="2"/>
      <c r="C20" s="195" t="s">
        <v>203</v>
      </c>
      <c r="D20" s="2"/>
      <c r="E20" s="14">
        <v>-3997483.5082</v>
      </c>
      <c r="F20" s="14">
        <v>3276844.2097999998</v>
      </c>
      <c r="G20" s="14">
        <v>3724307.3103999998</v>
      </c>
      <c r="H20" s="2"/>
      <c r="I20" s="195" t="s">
        <v>203</v>
      </c>
      <c r="J20" s="194"/>
      <c r="K20" s="202">
        <v>1997</v>
      </c>
      <c r="L20" s="202">
        <v>275</v>
      </c>
      <c r="N20" t="str">
        <f>A20</f>
        <v>SLR-CP0</v>
      </c>
      <c r="O20" t="str">
        <f>C20</f>
        <v>KASL</v>
      </c>
      <c r="P20" s="251" t="str">
        <f>I20</f>
        <v>KASL</v>
      </c>
      <c r="Q20" s="2">
        <f>H11kas!AT10</f>
        <v>-0.45289542151102591</v>
      </c>
      <c r="R20" s="2">
        <f>H11kas!AU10</f>
        <v>16.844512411371831</v>
      </c>
      <c r="S20" s="2">
        <f>H11kas!AV10</f>
        <v>-7.6379489853944378</v>
      </c>
      <c r="U20" s="251">
        <f>K20</f>
        <v>1997</v>
      </c>
      <c r="V20" s="251">
        <f>L20</f>
        <v>275</v>
      </c>
    </row>
    <row r="21" spans="1:22">
      <c r="A21" s="2"/>
      <c r="B21" s="2"/>
      <c r="C21" s="2"/>
      <c r="D21" s="2"/>
      <c r="E21" s="6">
        <v>0.1</v>
      </c>
      <c r="F21" s="6">
        <v>0.1</v>
      </c>
      <c r="G21" s="6">
        <v>0.1</v>
      </c>
      <c r="H21" s="2"/>
      <c r="I21" s="201"/>
      <c r="J21" s="194"/>
      <c r="K21" s="201"/>
      <c r="L21" s="201"/>
      <c r="N21" t="s">
        <v>185</v>
      </c>
    </row>
    <row r="23" spans="1:22" ht="15.75" thickBot="1">
      <c r="Q23" s="216" t="s">
        <v>22</v>
      </c>
      <c r="R23" s="217" t="s">
        <v>23</v>
      </c>
      <c r="S23" s="217" t="s">
        <v>24</v>
      </c>
    </row>
    <row r="24" spans="1:22" ht="15.75" thickTop="1">
      <c r="A24" s="2" t="s">
        <v>25</v>
      </c>
      <c r="B24" s="2"/>
      <c r="C24" s="2" t="s">
        <v>172</v>
      </c>
      <c r="D24" s="2"/>
      <c r="E24" s="124">
        <v>-3997505.6455999999</v>
      </c>
      <c r="F24" s="124">
        <v>3276878.3774999999</v>
      </c>
      <c r="G24" s="124">
        <v>3724240.6913000001</v>
      </c>
      <c r="H24" s="2"/>
      <c r="I24" s="202">
        <v>7334</v>
      </c>
      <c r="J24" s="194"/>
      <c r="K24" s="202">
        <v>1998</v>
      </c>
      <c r="L24" s="202">
        <v>275</v>
      </c>
      <c r="N24" t="str">
        <f>A24</f>
        <v>Kas11-CP0</v>
      </c>
      <c r="O24" t="str">
        <f>C24</f>
        <v>21701S006</v>
      </c>
      <c r="P24" s="251">
        <f>I24</f>
        <v>7334</v>
      </c>
      <c r="Q24">
        <f>H11kas!AP13</f>
        <v>-22.582770244965861</v>
      </c>
      <c r="R24">
        <f>H11kas!AQ13</f>
        <v>51.010012670027578</v>
      </c>
      <c r="S24">
        <f>H11kas!AR13</f>
        <v>-74.261697934499452</v>
      </c>
      <c r="U24" s="251">
        <f>K24</f>
        <v>1998</v>
      </c>
      <c r="V24" s="251">
        <f>L24</f>
        <v>275</v>
      </c>
    </row>
    <row r="25" spans="1:22">
      <c r="A25" s="2"/>
      <c r="B25" s="2"/>
      <c r="C25" s="2"/>
      <c r="D25" s="2"/>
      <c r="E25" s="6">
        <v>0.6</v>
      </c>
      <c r="F25" s="6">
        <v>1</v>
      </c>
      <c r="G25" s="6">
        <v>0.3</v>
      </c>
      <c r="H25" s="2"/>
      <c r="I25" s="201"/>
      <c r="J25" s="194"/>
      <c r="K25" s="201"/>
      <c r="L25" s="201"/>
      <c r="N25" t="s">
        <v>185</v>
      </c>
    </row>
    <row r="26" spans="1:22">
      <c r="A26" s="14" t="s">
        <v>139</v>
      </c>
      <c r="B26" s="2"/>
      <c r="C26" s="2" t="s">
        <v>201</v>
      </c>
      <c r="D26" s="2"/>
      <c r="E26" s="124">
        <v>-3997484.3111999999</v>
      </c>
      <c r="F26" s="124">
        <v>3276846.8459999999</v>
      </c>
      <c r="G26" s="124">
        <v>3724296.5951999999</v>
      </c>
      <c r="H26" s="2"/>
      <c r="I26" s="201">
        <v>7335</v>
      </c>
      <c r="J26" s="194"/>
      <c r="K26" s="202">
        <v>1998</v>
      </c>
      <c r="L26" s="202">
        <v>275</v>
      </c>
      <c r="N26" t="str">
        <f>A26</f>
        <v>SLR-S2(RT)</v>
      </c>
      <c r="O26" t="str">
        <f>C26</f>
        <v>21701M002</v>
      </c>
      <c r="P26" s="251">
        <f>I26</f>
        <v>7335</v>
      </c>
      <c r="Q26">
        <f>H11kas!AP12</f>
        <v>-1.2513324670064301</v>
      </c>
      <c r="R26">
        <f>H11kas!AQ12</f>
        <v>19.48026959329659</v>
      </c>
      <c r="S26">
        <f>H11kas!AR12</f>
        <v>-18.355842808958975</v>
      </c>
      <c r="U26" s="251">
        <f>K26</f>
        <v>1998</v>
      </c>
      <c r="V26" s="251">
        <f>L26</f>
        <v>275</v>
      </c>
    </row>
    <row r="27" spans="1:22">
      <c r="A27" s="2"/>
      <c r="B27" s="2"/>
      <c r="C27" s="2"/>
      <c r="D27" s="2"/>
      <c r="E27" s="6">
        <v>0.1</v>
      </c>
      <c r="F27" s="6">
        <v>0.1</v>
      </c>
      <c r="G27" s="6">
        <v>0.1</v>
      </c>
      <c r="H27" s="2"/>
      <c r="I27" s="201"/>
      <c r="J27" s="194"/>
      <c r="K27" s="201"/>
      <c r="L27" s="201"/>
      <c r="N27" t="s">
        <v>185</v>
      </c>
    </row>
    <row r="28" spans="1:22">
      <c r="A28" s="2" t="s">
        <v>26</v>
      </c>
      <c r="B28" s="2"/>
      <c r="C28" s="2" t="s">
        <v>173</v>
      </c>
      <c r="D28" s="2"/>
      <c r="E28" s="124">
        <v>-3997649.2357999999</v>
      </c>
      <c r="F28" s="124">
        <v>3276690.7634000001</v>
      </c>
      <c r="G28" s="124">
        <v>3724278.8314</v>
      </c>
      <c r="H28" s="2"/>
      <c r="I28" s="201">
        <v>1857</v>
      </c>
      <c r="J28" s="194"/>
      <c r="K28" s="202">
        <v>1998</v>
      </c>
      <c r="L28" s="202">
        <v>275</v>
      </c>
      <c r="N28" t="str">
        <f>A28</f>
        <v>Kas34-CP0</v>
      </c>
      <c r="O28" t="str">
        <f>C28</f>
        <v>21701S004</v>
      </c>
      <c r="P28" s="251">
        <f>I28</f>
        <v>1857</v>
      </c>
      <c r="Q28">
        <f>H11kas!AP15</f>
        <v>-166.1591565739308</v>
      </c>
      <c r="R28">
        <f>H11kas!AQ15</f>
        <v>-136.61789158526159</v>
      </c>
      <c r="S28">
        <f>H11kas!AR15</f>
        <v>-36.137357090092308</v>
      </c>
      <c r="U28" s="251">
        <f>K28</f>
        <v>1998</v>
      </c>
      <c r="V28" s="251">
        <f>L28</f>
        <v>275</v>
      </c>
    </row>
    <row r="29" spans="1:22">
      <c r="A29" s="2"/>
      <c r="B29" s="2"/>
      <c r="C29" s="2"/>
      <c r="D29" s="2"/>
      <c r="E29" s="6">
        <v>0.2</v>
      </c>
      <c r="F29" s="6">
        <v>0.3</v>
      </c>
      <c r="G29" s="6">
        <v>0.3</v>
      </c>
      <c r="H29" s="2"/>
      <c r="I29" s="201"/>
      <c r="J29" s="194"/>
      <c r="K29" s="201"/>
      <c r="L29" s="201"/>
      <c r="N29" t="s">
        <v>185</v>
      </c>
    </row>
    <row r="30" spans="1:22">
      <c r="A30" s="2" t="s">
        <v>21</v>
      </c>
      <c r="B30" s="2"/>
      <c r="C30" s="2" t="s">
        <v>170</v>
      </c>
      <c r="D30" s="2"/>
      <c r="E30" s="124">
        <v>-3997525.358</v>
      </c>
      <c r="F30" s="124">
        <v>3276870.889</v>
      </c>
      <c r="G30" s="124">
        <v>3724218.5852999999</v>
      </c>
      <c r="H30" s="2"/>
      <c r="I30" s="201" t="s">
        <v>186</v>
      </c>
      <c r="J30" s="194"/>
      <c r="K30" s="202">
        <v>1998</v>
      </c>
      <c r="L30" s="202">
        <v>275</v>
      </c>
      <c r="N30" t="str">
        <f>A30</f>
        <v>PGPS</v>
      </c>
      <c r="O30" t="str">
        <f>C30</f>
        <v>21701S007</v>
      </c>
      <c r="P30" s="251" t="str">
        <f>I30</f>
        <v>KSMV</v>
      </c>
      <c r="Q30">
        <f>H11kas!AP19</f>
        <v>-42.292191208118012</v>
      </c>
      <c r="R30">
        <f>H11kas!AQ19</f>
        <v>43.519760405931322</v>
      </c>
      <c r="S30">
        <f>H11kas!AR19</f>
        <v>-96.369812703441283</v>
      </c>
      <c r="U30" s="251">
        <f>K30</f>
        <v>1998</v>
      </c>
      <c r="V30" s="251">
        <f>L30</f>
        <v>275</v>
      </c>
    </row>
    <row r="31" spans="1:22">
      <c r="A31" s="2"/>
      <c r="B31" s="2"/>
      <c r="C31" s="2"/>
      <c r="D31" s="2"/>
      <c r="E31" s="6">
        <v>0.9</v>
      </c>
      <c r="F31" s="6">
        <v>1.5</v>
      </c>
      <c r="G31" s="6">
        <v>0.4</v>
      </c>
      <c r="H31" s="2"/>
      <c r="I31" s="201"/>
      <c r="J31" s="194"/>
      <c r="K31" s="201"/>
      <c r="L31" s="201"/>
      <c r="N31" t="s">
        <v>185</v>
      </c>
    </row>
    <row r="32" spans="1:22">
      <c r="A32" s="14" t="s">
        <v>32</v>
      </c>
      <c r="B32" s="2"/>
      <c r="C32" s="195" t="s">
        <v>203</v>
      </c>
      <c r="D32" s="2"/>
      <c r="E32" s="124">
        <v>-3997483.5125000002</v>
      </c>
      <c r="F32" s="124">
        <v>3276844.2105</v>
      </c>
      <c r="G32" s="124">
        <v>3724307.3128999998</v>
      </c>
      <c r="H32" s="2"/>
      <c r="I32" s="195" t="s">
        <v>203</v>
      </c>
      <c r="J32" s="194"/>
      <c r="K32" s="202">
        <v>1998</v>
      </c>
      <c r="L32" s="202">
        <v>275</v>
      </c>
      <c r="N32" t="str">
        <f>A32</f>
        <v>SLR-CP0</v>
      </c>
      <c r="O32" t="str">
        <f>C32</f>
        <v>KASL</v>
      </c>
      <c r="P32" s="251" t="str">
        <f>I32</f>
        <v>KASL</v>
      </c>
      <c r="Q32">
        <f>H11kas!AP10</f>
        <v>-0.45345271902482143</v>
      </c>
      <c r="R32">
        <f>H11kas!AQ10</f>
        <v>16.844969149361415</v>
      </c>
      <c r="S32">
        <f>H11kas!AR10</f>
        <v>-7.6379205266826862</v>
      </c>
      <c r="U32" s="251">
        <f>K32</f>
        <v>1998</v>
      </c>
      <c r="V32" s="251">
        <f>L32</f>
        <v>275</v>
      </c>
    </row>
    <row r="33" spans="1:22">
      <c r="A33" s="2"/>
      <c r="B33" s="2"/>
      <c r="C33" s="2"/>
      <c r="D33" s="2"/>
      <c r="E33" s="6">
        <v>0.1</v>
      </c>
      <c r="F33" s="6">
        <v>0.1</v>
      </c>
      <c r="G33" s="6">
        <v>0.1</v>
      </c>
      <c r="H33" s="2"/>
      <c r="I33" s="201"/>
      <c r="J33" s="194"/>
      <c r="K33" s="201"/>
      <c r="L33" s="201"/>
      <c r="N33" t="s">
        <v>185</v>
      </c>
    </row>
    <row r="35" spans="1:22" ht="15.75" thickBot="1">
      <c r="Q35" s="216" t="s">
        <v>22</v>
      </c>
      <c r="R35" s="217" t="s">
        <v>23</v>
      </c>
      <c r="S35" s="217" t="s">
        <v>24</v>
      </c>
    </row>
    <row r="36" spans="1:22" ht="15.75" thickTop="1">
      <c r="A36" s="2" t="s">
        <v>25</v>
      </c>
      <c r="B36" s="2"/>
      <c r="C36" s="2" t="s">
        <v>172</v>
      </c>
      <c r="D36" s="2"/>
      <c r="E36" s="124">
        <v>-3997505.6439</v>
      </c>
      <c r="F36" s="124">
        <v>3276878.3768000002</v>
      </c>
      <c r="G36" s="124">
        <v>3724240.6921999999</v>
      </c>
      <c r="H36" s="2"/>
      <c r="I36" s="202">
        <v>7334</v>
      </c>
      <c r="J36" s="194"/>
      <c r="K36" s="202">
        <v>1999</v>
      </c>
      <c r="L36" s="202">
        <v>305</v>
      </c>
      <c r="N36" s="2" t="str">
        <f>A36</f>
        <v>Kas11-CP0</v>
      </c>
      <c r="O36" s="2" t="str">
        <f>C36</f>
        <v>21701S006</v>
      </c>
      <c r="P36" s="251">
        <f>I36</f>
        <v>7334</v>
      </c>
      <c r="Q36" s="56">
        <f>H11kas!AL13</f>
        <v>-22.58105451588575</v>
      </c>
      <c r="R36" s="56">
        <f>H11kas!AM13</f>
        <v>51.009382207477678</v>
      </c>
      <c r="S36" s="56">
        <f>H11kas!AN13</f>
        <v>-74.260850119215547</v>
      </c>
      <c r="U36" s="251">
        <f>K36</f>
        <v>1999</v>
      </c>
      <c r="V36" s="251">
        <f>L36</f>
        <v>305</v>
      </c>
    </row>
    <row r="37" spans="1:22">
      <c r="A37" s="2"/>
      <c r="B37" s="2"/>
      <c r="C37" s="2"/>
      <c r="D37" s="2"/>
      <c r="E37" s="6">
        <v>0.6</v>
      </c>
      <c r="F37" s="6">
        <v>1</v>
      </c>
      <c r="G37" s="6">
        <v>0.3</v>
      </c>
      <c r="H37" s="2"/>
      <c r="I37" s="201"/>
      <c r="J37" s="194"/>
      <c r="K37" s="201"/>
      <c r="L37" s="201"/>
    </row>
    <row r="38" spans="1:22">
      <c r="A38" s="14" t="s">
        <v>139</v>
      </c>
      <c r="B38" s="2"/>
      <c r="C38" s="2" t="s">
        <v>201</v>
      </c>
      <c r="D38" s="2"/>
      <c r="E38" s="124">
        <v>-3997484.3105000001</v>
      </c>
      <c r="F38" s="124">
        <v>3276846.8462</v>
      </c>
      <c r="G38" s="124">
        <v>3724296.5954999998</v>
      </c>
      <c r="H38" s="2"/>
      <c r="I38" s="201">
        <v>7335</v>
      </c>
      <c r="J38" s="194"/>
      <c r="K38" s="202">
        <v>1999</v>
      </c>
      <c r="L38" s="202">
        <v>305</v>
      </c>
      <c r="N38" s="2" t="str">
        <f>A38</f>
        <v>SLR-S2(RT)</v>
      </c>
      <c r="O38" s="2" t="str">
        <f>C38</f>
        <v>21701M002</v>
      </c>
      <c r="P38" s="251">
        <f>I38</f>
        <v>7335</v>
      </c>
      <c r="Q38" s="2">
        <f>H11kas!AL12</f>
        <v>-1.2505727255018675</v>
      </c>
      <c r="R38" s="2">
        <f>H11kas!AM12</f>
        <v>19.480513166143695</v>
      </c>
      <c r="S38" s="2">
        <f>H11kas!AN12</f>
        <v>-18.355415766653529</v>
      </c>
      <c r="U38" s="251">
        <f>K38</f>
        <v>1999</v>
      </c>
      <c r="V38" s="251">
        <f>L38</f>
        <v>305</v>
      </c>
    </row>
    <row r="39" spans="1:22">
      <c r="A39" s="2"/>
      <c r="B39" s="2"/>
      <c r="C39" s="2"/>
      <c r="D39" s="2"/>
      <c r="E39" s="6">
        <v>0.1</v>
      </c>
      <c r="F39" s="6">
        <v>0.1</v>
      </c>
      <c r="G39" s="6">
        <v>0.1</v>
      </c>
      <c r="H39" s="2"/>
      <c r="I39" s="201"/>
      <c r="J39" s="194"/>
      <c r="K39" s="201"/>
      <c r="L39" s="201"/>
    </row>
    <row r="40" spans="1:22">
      <c r="A40" s="2" t="s">
        <v>26</v>
      </c>
      <c r="B40" s="2"/>
      <c r="C40" s="2" t="s">
        <v>173</v>
      </c>
      <c r="D40" s="2"/>
      <c r="E40" s="124">
        <v>-3997649.2371</v>
      </c>
      <c r="F40" s="124">
        <v>3276690.7637</v>
      </c>
      <c r="G40" s="124">
        <v>3724278.8308999999</v>
      </c>
      <c r="H40" s="2"/>
      <c r="I40" s="201">
        <v>1857</v>
      </c>
      <c r="J40" s="194"/>
      <c r="K40" s="202">
        <v>1999</v>
      </c>
      <c r="L40" s="202">
        <v>305</v>
      </c>
      <c r="N40" s="2" t="str">
        <f>A40</f>
        <v>Kas34-CP0</v>
      </c>
      <c r="O40" s="2" t="str">
        <f>C40</f>
        <v>21701S004</v>
      </c>
      <c r="P40" s="251">
        <f>I40</f>
        <v>1857</v>
      </c>
      <c r="Q40" s="2">
        <f>H11kas!AL15</f>
        <v>-166.16047464663478</v>
      </c>
      <c r="R40" s="2">
        <f>H11kas!AM15</f>
        <v>-136.61758706017952</v>
      </c>
      <c r="S40" s="2">
        <f>H11kas!AN15</f>
        <v>-36.137836619920805</v>
      </c>
      <c r="U40" s="251">
        <f>K40</f>
        <v>1999</v>
      </c>
      <c r="V40" s="251">
        <f>L40</f>
        <v>305</v>
      </c>
    </row>
    <row r="41" spans="1:22">
      <c r="A41" s="2"/>
      <c r="B41" s="2"/>
      <c r="C41" s="2"/>
      <c r="D41" s="2"/>
      <c r="E41" s="6">
        <v>0.2</v>
      </c>
      <c r="F41" s="6">
        <v>0.3</v>
      </c>
      <c r="G41" s="6">
        <v>0.3</v>
      </c>
      <c r="H41" s="2"/>
      <c r="I41" s="201"/>
      <c r="J41" s="194"/>
      <c r="K41" s="201"/>
      <c r="L41" s="201"/>
    </row>
    <row r="42" spans="1:22">
      <c r="A42" s="2" t="s">
        <v>205</v>
      </c>
      <c r="B42" s="2"/>
      <c r="C42" s="2" t="s">
        <v>208</v>
      </c>
      <c r="D42" s="2"/>
      <c r="E42" s="124">
        <v>-3997892.2831000001</v>
      </c>
      <c r="F42" s="124">
        <v>3276581.2922999999</v>
      </c>
      <c r="G42" s="124">
        <v>3724118.2485000002</v>
      </c>
      <c r="H42" s="2"/>
      <c r="I42" s="201">
        <v>1856</v>
      </c>
      <c r="J42" s="194"/>
      <c r="K42" s="202">
        <v>1999</v>
      </c>
      <c r="L42" s="202">
        <v>305</v>
      </c>
      <c r="N42" s="2" t="s">
        <v>205</v>
      </c>
      <c r="O42" s="2" t="str">
        <f>C42</f>
        <v>21701S001</v>
      </c>
      <c r="P42" s="251">
        <f>I42</f>
        <v>1856</v>
      </c>
      <c r="Q42" s="2">
        <f>H11kas!AL17</f>
        <v>-409.17915707391876</v>
      </c>
      <c r="R42" s="2">
        <f>H11kas!AM17</f>
        <v>-246.11169848537276</v>
      </c>
      <c r="S42" s="2">
        <f>H11kas!AN17</f>
        <v>-196.74615297564679</v>
      </c>
      <c r="U42" s="251">
        <f>K42</f>
        <v>1999</v>
      </c>
      <c r="V42" s="251">
        <f>L42</f>
        <v>305</v>
      </c>
    </row>
    <row r="43" spans="1:22">
      <c r="A43" s="2"/>
      <c r="B43" s="2"/>
      <c r="C43" s="2"/>
      <c r="D43" s="2"/>
      <c r="E43" s="6">
        <v>0.3</v>
      </c>
      <c r="F43" s="6">
        <v>0.3</v>
      </c>
      <c r="G43" s="6">
        <v>0.4</v>
      </c>
      <c r="H43" s="2"/>
      <c r="I43" s="201"/>
      <c r="J43" s="194"/>
      <c r="K43" s="201"/>
      <c r="L43" s="201"/>
    </row>
    <row r="44" spans="1:22">
      <c r="A44" s="2" t="s">
        <v>21</v>
      </c>
      <c r="B44" s="2"/>
      <c r="C44" s="2" t="s">
        <v>170</v>
      </c>
      <c r="D44" s="2"/>
      <c r="E44" s="124">
        <v>-3997525.3544000001</v>
      </c>
      <c r="F44" s="124">
        <v>3276870.8883000002</v>
      </c>
      <c r="G44" s="124">
        <v>3724218.5852000001</v>
      </c>
      <c r="H44" s="2"/>
      <c r="I44" s="201" t="s">
        <v>186</v>
      </c>
      <c r="J44" s="194"/>
      <c r="K44" s="202">
        <v>1999</v>
      </c>
      <c r="L44" s="202">
        <v>305</v>
      </c>
      <c r="N44" s="2" t="str">
        <f>A44</f>
        <v>PGPS</v>
      </c>
      <c r="O44" s="2" t="str">
        <f>C44</f>
        <v>21701S007</v>
      </c>
      <c r="P44" s="251" t="str">
        <f>I44</f>
        <v>KSMV</v>
      </c>
      <c r="Q44" s="2">
        <f>H11kas!AL19</f>
        <v>-42.288605777440551</v>
      </c>
      <c r="R44" s="2">
        <f>H11kas!AM19</f>
        <v>43.519019921773392</v>
      </c>
      <c r="S44" s="2">
        <f>H11kas!AN19</f>
        <v>-96.369940650047909</v>
      </c>
      <c r="U44" s="251">
        <f>K44</f>
        <v>1999</v>
      </c>
      <c r="V44" s="251">
        <f>L44</f>
        <v>305</v>
      </c>
    </row>
    <row r="45" spans="1:22">
      <c r="A45" s="2"/>
      <c r="B45" s="2"/>
      <c r="C45" s="2"/>
      <c r="D45" s="2"/>
      <c r="E45" s="6">
        <v>0.9</v>
      </c>
      <c r="F45" s="6">
        <v>1.5</v>
      </c>
      <c r="G45" s="6">
        <v>0.4</v>
      </c>
      <c r="H45" s="2"/>
      <c r="I45" s="201"/>
      <c r="J45" s="194"/>
      <c r="K45" s="201"/>
      <c r="L45" s="201"/>
    </row>
    <row r="46" spans="1:22">
      <c r="A46" s="14" t="s">
        <v>32</v>
      </c>
      <c r="B46" s="2"/>
      <c r="C46" s="195" t="s">
        <v>203</v>
      </c>
      <c r="D46" s="2"/>
      <c r="E46" s="124">
        <v>-3997483.5126999998</v>
      </c>
      <c r="F46" s="124">
        <v>3276844.2116</v>
      </c>
      <c r="G46" s="124">
        <v>3724307.3141999999</v>
      </c>
      <c r="H46" s="2"/>
      <c r="I46" s="195" t="s">
        <v>203</v>
      </c>
      <c r="J46" s="194"/>
      <c r="K46" s="202">
        <v>1999</v>
      </c>
      <c r="L46" s="202">
        <v>305</v>
      </c>
      <c r="N46" s="2" t="str">
        <f>A46</f>
        <v>SLR-CP0</v>
      </c>
      <c r="O46" s="2" t="str">
        <f>C46</f>
        <v>KASL</v>
      </c>
      <c r="P46" s="251" t="str">
        <f>I46</f>
        <v>KASL</v>
      </c>
      <c r="Q46" s="2">
        <f>H11kas!AL10</f>
        <v>-0.45455077787888065</v>
      </c>
      <c r="R46" s="2">
        <f>H11kas!AM10</f>
        <v>16.84599825211907</v>
      </c>
      <c r="S46" s="2">
        <f>H11kas!AN10</f>
        <v>-7.6365844075454907</v>
      </c>
      <c r="U46" s="251">
        <f>K46</f>
        <v>1999</v>
      </c>
      <c r="V46" s="251">
        <f>L46</f>
        <v>305</v>
      </c>
    </row>
    <row r="47" spans="1:22">
      <c r="A47" s="2"/>
      <c r="B47" s="2"/>
      <c r="C47" s="2"/>
      <c r="D47" s="2"/>
      <c r="E47" s="6">
        <v>0.1</v>
      </c>
      <c r="F47" s="6">
        <v>0.1</v>
      </c>
      <c r="G47" s="6">
        <v>0.1</v>
      </c>
      <c r="H47" s="2"/>
      <c r="I47" s="201"/>
      <c r="J47" s="194"/>
      <c r="K47" s="201"/>
      <c r="L47" s="201"/>
    </row>
    <row r="49" spans="1:31">
      <c r="C49" t="s">
        <v>191</v>
      </c>
      <c r="F49" s="151" t="s">
        <v>22</v>
      </c>
      <c r="G49" s="151" t="s">
        <v>23</v>
      </c>
      <c r="H49" s="151" t="s">
        <v>24</v>
      </c>
      <c r="K49" s="152" t="s">
        <v>5</v>
      </c>
      <c r="L49" s="151" t="s">
        <v>4</v>
      </c>
      <c r="M49" s="151" t="s">
        <v>6</v>
      </c>
    </row>
    <row r="50" spans="1:31">
      <c r="F50" s="169">
        <v>796.87686278415958</v>
      </c>
      <c r="G50" s="169">
        <v>-2634.5461979293095</v>
      </c>
      <c r="H50" s="169">
        <v>10718.760110037703</v>
      </c>
      <c r="K50" s="210">
        <v>1532.3</v>
      </c>
      <c r="L50" s="169">
        <v>10019</v>
      </c>
      <c r="M50" s="169">
        <v>4442.8999999999996</v>
      </c>
    </row>
    <row r="51" spans="1:31">
      <c r="H51" s="1"/>
      <c r="M51" s="200"/>
    </row>
    <row r="52" spans="1:31" ht="21.75" customHeight="1" thickBot="1">
      <c r="A52" s="36"/>
      <c r="B52" s="36"/>
      <c r="C52" s="36"/>
      <c r="D52" s="36"/>
      <c r="E52" s="206"/>
      <c r="F52" s="206"/>
      <c r="G52" s="206"/>
      <c r="H52" s="36"/>
      <c r="I52" s="207"/>
      <c r="J52" s="208"/>
      <c r="K52" s="207"/>
      <c r="L52" s="207"/>
      <c r="M52" s="36"/>
      <c r="N52" s="36"/>
      <c r="O52" s="36"/>
      <c r="P52" s="36"/>
      <c r="Q52" s="36"/>
      <c r="R52" s="36"/>
      <c r="S52" s="36"/>
      <c r="T52" s="36"/>
      <c r="U52" s="36"/>
    </row>
    <row r="53" spans="1:31" ht="15.75" thickTop="1"/>
    <row r="54" spans="1:31">
      <c r="A54" t="s">
        <v>237</v>
      </c>
      <c r="C54" t="s">
        <v>192</v>
      </c>
      <c r="E54" s="6" t="s">
        <v>241</v>
      </c>
      <c r="F54" s="6">
        <v>3.8999998942017555</v>
      </c>
      <c r="G54" s="6">
        <v>0.9</v>
      </c>
      <c r="H54" s="6">
        <v>0.7</v>
      </c>
      <c r="P54" t="s">
        <v>213</v>
      </c>
      <c r="U54" t="s">
        <v>238</v>
      </c>
      <c r="V54" t="s">
        <v>239</v>
      </c>
      <c r="Y54" t="s">
        <v>238</v>
      </c>
      <c r="Z54" t="s">
        <v>240</v>
      </c>
    </row>
    <row r="55" spans="1:31" ht="15.75" thickBot="1">
      <c r="A55" s="36"/>
      <c r="B55" s="36" t="s">
        <v>193</v>
      </c>
      <c r="C55" s="36" t="s">
        <v>236</v>
      </c>
      <c r="D55" s="36"/>
      <c r="E55" s="206" t="s">
        <v>22</v>
      </c>
      <c r="F55" s="206" t="s">
        <v>23</v>
      </c>
      <c r="G55" s="206" t="s">
        <v>24</v>
      </c>
      <c r="H55" s="36"/>
      <c r="I55" s="278" t="s">
        <v>207</v>
      </c>
      <c r="J55" s="279"/>
      <c r="K55" s="278" t="s">
        <v>207</v>
      </c>
      <c r="L55" s="278" t="s">
        <v>128</v>
      </c>
      <c r="Q55" s="276" t="s">
        <v>22</v>
      </c>
      <c r="R55" s="277" t="s">
        <v>23</v>
      </c>
      <c r="S55" s="277" t="s">
        <v>24</v>
      </c>
      <c r="U55" s="216" t="s">
        <v>22</v>
      </c>
      <c r="V55" s="217" t="s">
        <v>23</v>
      </c>
      <c r="W55" s="217" t="s">
        <v>24</v>
      </c>
      <c r="Y55" s="216" t="s">
        <v>22</v>
      </c>
      <c r="Z55" s="217" t="s">
        <v>23</v>
      </c>
      <c r="AA55" s="217" t="s">
        <v>24</v>
      </c>
      <c r="AC55" t="s">
        <v>126</v>
      </c>
    </row>
    <row r="56" spans="1:31" ht="15.75" thickTop="1">
      <c r="A56" s="284" t="str">
        <f>C8</f>
        <v>21701S006</v>
      </c>
      <c r="B56" s="284"/>
      <c r="C56" s="284" t="str">
        <f>C10</f>
        <v>21701M002</v>
      </c>
      <c r="E56" s="3">
        <f>Q56/1000</f>
        <v>-21.333010777363381</v>
      </c>
      <c r="F56" s="3">
        <f>R56/1000</f>
        <v>31.52796826075064</v>
      </c>
      <c r="G56" s="3">
        <f>S56/1000</f>
        <v>-55.908877144964308</v>
      </c>
      <c r="I56" s="280">
        <f>I8</f>
        <v>7334</v>
      </c>
      <c r="J56" s="281"/>
      <c r="K56" s="280">
        <f>I10</f>
        <v>7335</v>
      </c>
      <c r="L56" s="280" t="s">
        <v>194</v>
      </c>
      <c r="Q56" s="275">
        <f>(Q8-Q10)*1000</f>
        <v>-21333.010777363379</v>
      </c>
      <c r="R56" s="275">
        <f>(R8-R10)*1000</f>
        <v>31527.96826075064</v>
      </c>
      <c r="S56" s="275">
        <f>(S8-S10)*1000</f>
        <v>-55908.87714496431</v>
      </c>
      <c r="U56" s="1">
        <f>E56-Q56</f>
        <v>21311.677766586017</v>
      </c>
      <c r="V56" s="1">
        <f>F56-R56</f>
        <v>-31496.44029248989</v>
      </c>
      <c r="W56" s="1">
        <f>G56-S56</f>
        <v>55852.968267819342</v>
      </c>
      <c r="Y56" s="1">
        <f>E56-E78</f>
        <v>-2.5289869794988817E-3</v>
      </c>
      <c r="Z56" s="1">
        <f>F56-F78</f>
        <v>-9.0078058334341904E-4</v>
      </c>
      <c r="AA56" s="1">
        <f>G56-G78</f>
        <v>-3.4427924022892853E-3</v>
      </c>
      <c r="AC56" s="1">
        <f>_xlfn.STDEV.P(Y56:Y58)</f>
        <v>4.3911624712392738E-3</v>
      </c>
      <c r="AD56" s="1">
        <f>_xlfn.STDEV.P(Z56:Z58)</f>
        <v>3.0186389574105021E-4</v>
      </c>
      <c r="AE56" s="1">
        <f>_xlfn.STDEV.P(AA56:AA58)</f>
        <v>1.7768153470765213E-4</v>
      </c>
    </row>
    <row r="57" spans="1:31">
      <c r="A57" s="285"/>
      <c r="B57" s="285"/>
      <c r="C57" s="285"/>
      <c r="D57" s="53"/>
      <c r="E57" s="181">
        <f>SQRT(E9^2+E11^2+F54^2)/1000</f>
        <v>3.947150766663683E-3</v>
      </c>
      <c r="F57" s="181">
        <f>SQRT(F9^2+F11^2+G54^2)/1000</f>
        <v>1.3490737563232043E-3</v>
      </c>
      <c r="G57" s="181">
        <f>SQRT(G9^2+G11^2+H54^2)/1000</f>
        <v>7.6811457478686087E-4</v>
      </c>
      <c r="H57" s="53"/>
      <c r="I57" s="282"/>
      <c r="J57" s="283"/>
      <c r="K57" s="282"/>
      <c r="L57" s="282"/>
      <c r="Q57" s="274">
        <f>E57</f>
        <v>3.947150766663683E-3</v>
      </c>
      <c r="R57" s="274">
        <f>F57</f>
        <v>1.3490737563232043E-3</v>
      </c>
      <c r="S57" s="274">
        <f>G57</f>
        <v>7.6811457478686087E-4</v>
      </c>
    </row>
    <row r="58" spans="1:31">
      <c r="A58" s="284" t="str">
        <f>C12</f>
        <v>KASL</v>
      </c>
      <c r="B58" s="284"/>
      <c r="C58" s="284" t="str">
        <f>C10</f>
        <v>21701M002</v>
      </c>
      <c r="E58" s="3">
        <f t="shared" ref="E58:G58" si="1">Q58/1000</f>
        <v>0.8022752855859665</v>
      </c>
      <c r="F58" s="3">
        <f t="shared" si="1"/>
        <v>-2.6360194223994498</v>
      </c>
      <c r="G58" s="3">
        <f t="shared" si="1"/>
        <v>10.715743929775163</v>
      </c>
      <c r="I58" s="280" t="str">
        <f>I12</f>
        <v>KASL</v>
      </c>
      <c r="J58" s="281"/>
      <c r="K58" s="280">
        <f>I10</f>
        <v>7335</v>
      </c>
      <c r="L58" s="280" t="s">
        <v>194</v>
      </c>
      <c r="N58" t="s">
        <v>196</v>
      </c>
      <c r="Q58" s="275">
        <f>(Q12-Q10)*1000</f>
        <v>802.27528558596646</v>
      </c>
      <c r="R58" s="275">
        <f>(R12-R10)*1000</f>
        <v>-2636.0194223994499</v>
      </c>
      <c r="S58" s="275">
        <f>(S12-S10)*1000</f>
        <v>10715.743929775163</v>
      </c>
      <c r="U58" s="1">
        <f>E58-Q58</f>
        <v>-801.47301030038045</v>
      </c>
      <c r="V58" s="1">
        <f>F58-R58</f>
        <v>2633.3834029770505</v>
      </c>
      <c r="W58" s="1">
        <f>G58-S58</f>
        <v>-10705.028185845387</v>
      </c>
      <c r="Y58" s="1">
        <f>E58-E86</f>
        <v>6.2533379629796659E-3</v>
      </c>
      <c r="Z58" s="1">
        <f>F58-F86</f>
        <v>-1.5045083748255195E-3</v>
      </c>
      <c r="AA58" s="1">
        <f>G58-G86</f>
        <v>-3.087429332873981E-3</v>
      </c>
    </row>
    <row r="59" spans="1:31">
      <c r="A59" s="285"/>
      <c r="B59" s="285"/>
      <c r="C59" s="285"/>
      <c r="D59" s="53"/>
      <c r="E59" s="181">
        <f>SQRT(E11^2+E13^2+F54^2)/1000</f>
        <v>3.9025631544888167E-3</v>
      </c>
      <c r="F59" s="181">
        <f>SQRT(F11^2+F13^2+G54^2)/1000</f>
        <v>9.1104335791442992E-4</v>
      </c>
      <c r="G59" s="181">
        <f>SQRT(G11^2+G13^2+H54^2)/1000</f>
        <v>7.1414284285428492E-4</v>
      </c>
      <c r="H59" s="53"/>
      <c r="I59" s="282"/>
      <c r="J59" s="283"/>
      <c r="K59" s="282"/>
      <c r="L59" s="282"/>
      <c r="Q59" s="274">
        <f>E59</f>
        <v>3.9025631544888167E-3</v>
      </c>
      <c r="R59" s="274">
        <f>F59</f>
        <v>9.1104335791442992E-4</v>
      </c>
      <c r="S59" s="274">
        <f>G59</f>
        <v>7.1414284285428492E-4</v>
      </c>
    </row>
    <row r="60" spans="1:31">
      <c r="E60" s="3"/>
      <c r="F60" s="3"/>
      <c r="G60" s="3"/>
      <c r="Q60" s="1"/>
      <c r="R60" s="1"/>
      <c r="S60" s="1"/>
    </row>
    <row r="61" spans="1:31" ht="15.75" thickBot="1">
      <c r="A61" s="36"/>
      <c r="B61" s="36"/>
      <c r="C61" s="36"/>
      <c r="D61" s="36"/>
      <c r="E61" s="223" t="s">
        <v>241</v>
      </c>
      <c r="F61" s="223">
        <v>2.899999963119626</v>
      </c>
      <c r="G61" s="223">
        <v>0.8</v>
      </c>
      <c r="H61" s="206">
        <v>0.6</v>
      </c>
      <c r="I61" s="207"/>
      <c r="J61" s="208"/>
      <c r="K61" s="207"/>
      <c r="L61" s="207"/>
      <c r="Q61" s="214"/>
      <c r="R61" s="214"/>
      <c r="S61" s="214"/>
    </row>
    <row r="62" spans="1:31" ht="15.75" thickTop="1">
      <c r="A62" s="284" t="str">
        <f>C16</f>
        <v>21701S006</v>
      </c>
      <c r="B62" s="284"/>
      <c r="C62" s="284" t="str">
        <f>C18</f>
        <v>21701M002</v>
      </c>
      <c r="E62" s="3">
        <f t="shared" ref="E62" si="2">Q62/1000</f>
        <v>-21.331057155153449</v>
      </c>
      <c r="F62" s="3">
        <f t="shared" ref="F62" si="3">R62/1000</f>
        <v>31.527918568437929</v>
      </c>
      <c r="G62" s="3">
        <f t="shared" ref="G62" si="4">S62/1000</f>
        <v>-55.907772205588984</v>
      </c>
      <c r="I62" s="280">
        <f>I16</f>
        <v>7334</v>
      </c>
      <c r="J62" s="281"/>
      <c r="K62" s="280">
        <f>I18</f>
        <v>7335</v>
      </c>
      <c r="L62" s="280" t="s">
        <v>197</v>
      </c>
      <c r="Q62" s="275">
        <f>(Q16-Q18)*1000</f>
        <v>-21331.057155153449</v>
      </c>
      <c r="R62" s="275">
        <f>(R16-R18)*1000</f>
        <v>31527.91856843793</v>
      </c>
      <c r="S62" s="275">
        <f>(S16-S18)*1000</f>
        <v>-55907.772205588983</v>
      </c>
      <c r="U62" s="1">
        <f>E62-Q62</f>
        <v>21309.726097998297</v>
      </c>
      <c r="V62" s="1">
        <f>F62-R62</f>
        <v>-31496.390649869492</v>
      </c>
      <c r="W62" s="1">
        <f>G62-S62</f>
        <v>55851.864433383394</v>
      </c>
      <c r="Y62" s="1">
        <f>E62-E78</f>
        <v>-5.7536476956698834E-4</v>
      </c>
      <c r="Z62" s="1">
        <f>F62-F78</f>
        <v>-9.5047289605432184E-4</v>
      </c>
      <c r="AA62" s="1">
        <f>G62-G78</f>
        <v>-2.3378530269653197E-3</v>
      </c>
      <c r="AC62" s="1">
        <f>_xlfn.STDEV.P(Y62:Y64)</f>
        <v>1.4965230784956818E-3</v>
      </c>
      <c r="AD62" s="1">
        <f>_xlfn.STDEV.P(Z62:Z64)</f>
        <v>6.2924200017633325E-5</v>
      </c>
      <c r="AE62" s="1">
        <f>_xlfn.STDEV.P(AA62:AA64)</f>
        <v>7.993492798465951E-4</v>
      </c>
    </row>
    <row r="63" spans="1:31">
      <c r="A63" s="285"/>
      <c r="B63" s="285"/>
      <c r="C63" s="285"/>
      <c r="D63" s="53"/>
      <c r="E63" s="181">
        <f>SQRT(E17^2+E19^2+F61^2)/1000</f>
        <v>2.9631064419108929E-3</v>
      </c>
      <c r="F63" s="181">
        <f>SQRT(F17^2+F19^2+G61^2)/1000</f>
        <v>1.284523257866513E-3</v>
      </c>
      <c r="G63" s="181">
        <f>SQRT(G17^2+G19^2+H61^2)/1000</f>
        <v>6.782329983125268E-4</v>
      </c>
      <c r="H63" s="53"/>
      <c r="I63" s="282"/>
      <c r="J63" s="283"/>
      <c r="K63" s="282"/>
      <c r="L63" s="282"/>
      <c r="Q63" s="274">
        <f>E63</f>
        <v>2.9631064419108929E-3</v>
      </c>
      <c r="R63" s="274">
        <f>F63</f>
        <v>1.284523257866513E-3</v>
      </c>
      <c r="S63" s="274">
        <f>G63</f>
        <v>6.782329983125268E-4</v>
      </c>
    </row>
    <row r="64" spans="1:31">
      <c r="A64" s="284" t="str">
        <f>C20</f>
        <v>KASL</v>
      </c>
      <c r="B64" s="284"/>
      <c r="C64" s="284" t="str">
        <f>C18</f>
        <v>21701M002</v>
      </c>
      <c r="E64" s="3">
        <f t="shared" ref="E64" si="5">Q64/1000</f>
        <v>0.79843962901041121</v>
      </c>
      <c r="F64" s="3">
        <f t="shared" ref="F64" si="6">R64/1000</f>
        <v>-2.6355912353207138</v>
      </c>
      <c r="G64" s="3">
        <f t="shared" ref="G64" si="7">S64/1000</f>
        <v>10.718092204640765</v>
      </c>
      <c r="I64" s="280" t="str">
        <f>I20</f>
        <v>KASL</v>
      </c>
      <c r="J64" s="281"/>
      <c r="K64" s="280">
        <f>I18</f>
        <v>7335</v>
      </c>
      <c r="L64" s="280" t="s">
        <v>197</v>
      </c>
      <c r="N64" t="s">
        <v>196</v>
      </c>
      <c r="Q64" s="275">
        <f>(Q20-Q18)*1000</f>
        <v>798.43962901041118</v>
      </c>
      <c r="R64" s="275">
        <f>(R20-R18)*1000</f>
        <v>-2635.5912353207136</v>
      </c>
      <c r="S64" s="275">
        <f>(S20-S18)*1000</f>
        <v>10718.092204640765</v>
      </c>
      <c r="U64" s="1">
        <f>E64-Q64</f>
        <v>-797.64118938140075</v>
      </c>
      <c r="V64" s="1">
        <f>F64-R64</f>
        <v>2632.955644085393</v>
      </c>
      <c r="W64" s="1">
        <f>G64-S64</f>
        <v>-10707.374112436124</v>
      </c>
      <c r="Y64" s="1">
        <f>E64-E86</f>
        <v>2.4176813874243752E-3</v>
      </c>
      <c r="Z64" s="1">
        <f>F64-F86</f>
        <v>-1.0763212960895885E-3</v>
      </c>
      <c r="AA64" s="1">
        <f>G64-G86</f>
        <v>-7.3915446727212952E-4</v>
      </c>
    </row>
    <row r="65" spans="1:31">
      <c r="A65" s="285"/>
      <c r="B65" s="285"/>
      <c r="C65" s="285"/>
      <c r="D65" s="53"/>
      <c r="E65" s="181">
        <f>SQRT(E19^2+E21^2+F61^2)/1000</f>
        <v>2.9034461913549961E-3</v>
      </c>
      <c r="F65" s="181">
        <f>SQRT(F19^2+F21^2+G61^2)/1000</f>
        <v>8.1240384046359613E-4</v>
      </c>
      <c r="G65" s="181">
        <f>SQRT(G19^2+G21^2+H61^2)/1000</f>
        <v>6.1644140029689764E-4</v>
      </c>
      <c r="H65" s="53"/>
      <c r="I65" s="282"/>
      <c r="J65" s="283"/>
      <c r="K65" s="282"/>
      <c r="L65" s="282"/>
      <c r="Q65" s="274">
        <f>E65</f>
        <v>2.9034461913549961E-3</v>
      </c>
      <c r="R65" s="274">
        <f>F65</f>
        <v>8.1240384046359613E-4</v>
      </c>
      <c r="S65" s="274">
        <f>G65</f>
        <v>6.1644140029689764E-4</v>
      </c>
    </row>
    <row r="66" spans="1:31">
      <c r="E66" s="3"/>
      <c r="F66" s="3"/>
      <c r="G66" s="3"/>
      <c r="Q66" s="1"/>
      <c r="R66" s="1"/>
      <c r="S66" s="1"/>
    </row>
    <row r="67" spans="1:31" ht="15.75" thickBot="1">
      <c r="A67" s="36"/>
      <c r="B67" s="36"/>
      <c r="C67" s="36"/>
      <c r="D67" s="36"/>
      <c r="E67" s="223" t="s">
        <v>241</v>
      </c>
      <c r="F67" s="223">
        <v>1.8688231116006404</v>
      </c>
      <c r="G67" s="223">
        <v>0.7549833174812135</v>
      </c>
      <c r="H67" s="206">
        <v>0.72801099952041815</v>
      </c>
      <c r="I67" s="207"/>
      <c r="J67" s="208"/>
      <c r="K67" s="207"/>
      <c r="L67" s="207"/>
      <c r="Q67" s="214"/>
      <c r="R67" s="214"/>
      <c r="S67" s="214"/>
    </row>
    <row r="68" spans="1:31" ht="15.75" thickTop="1">
      <c r="A68" s="284" t="str">
        <f>C24</f>
        <v>21701S006</v>
      </c>
      <c r="B68" s="284"/>
      <c r="C68" s="284" t="str">
        <f>C26</f>
        <v>21701M002</v>
      </c>
      <c r="E68" s="3">
        <f t="shared" ref="E68" si="8">Q68/1000</f>
        <v>-21.33143777795943</v>
      </c>
      <c r="F68" s="3">
        <f t="shared" ref="F68" si="9">R68/1000</f>
        <v>31.529743076730988</v>
      </c>
      <c r="G68" s="3">
        <f t="shared" ref="G68" si="10">S68/1000</f>
        <v>-55.905855125540477</v>
      </c>
      <c r="I68" s="280">
        <f>I24</f>
        <v>7334</v>
      </c>
      <c r="J68" s="281"/>
      <c r="K68" s="280">
        <f>I26</f>
        <v>7335</v>
      </c>
      <c r="L68" s="280" t="s">
        <v>198</v>
      </c>
      <c r="Q68" s="274">
        <f>(Q24-Q26)*1000</f>
        <v>-21331.437777959429</v>
      </c>
      <c r="R68" s="274">
        <f>(R24-R26)*1000</f>
        <v>31529.743076730989</v>
      </c>
      <c r="S68" s="274">
        <f>(S24-S26)*1000</f>
        <v>-55905.855125540475</v>
      </c>
      <c r="U68" s="1">
        <f>E68-Q68</f>
        <v>21310.106340181468</v>
      </c>
      <c r="V68" s="1">
        <f>F68-R68</f>
        <v>-31498.213333654257</v>
      </c>
      <c r="W68" s="1">
        <f>G68-S68</f>
        <v>55849.949270414931</v>
      </c>
      <c r="Y68" s="1">
        <f>E68-E78</f>
        <v>-9.559875755478231E-4</v>
      </c>
      <c r="Z68" s="1">
        <f>F68-F78</f>
        <v>8.7403539700403599E-4</v>
      </c>
      <c r="AA68" s="1">
        <f>G68-G78</f>
        <v>-4.2077297845821704E-4</v>
      </c>
      <c r="AC68" s="1">
        <f>_xlfn.STDEV.P(Y68:Y74)</f>
        <v>2.0409091963622494E-3</v>
      </c>
      <c r="AD68" s="1">
        <f>_xlfn.STDEV.P(Z68:Z74)</f>
        <v>7.2409247543433423E-4</v>
      </c>
      <c r="AE68" s="1">
        <f>_xlfn.STDEV.P(AA68:AA74)</f>
        <v>7.2955797397988745E-4</v>
      </c>
    </row>
    <row r="69" spans="1:31">
      <c r="A69" s="285"/>
      <c r="B69" s="285"/>
      <c r="C69" s="285"/>
      <c r="D69" s="53"/>
      <c r="E69" s="181">
        <f>SQRT(E25^2+E27^2+F67^2)/1000</f>
        <v>1.965324355533381E-3</v>
      </c>
      <c r="F69" s="181">
        <f>SQRT(F25^2+F27^2+G67^2)/1000</f>
        <v>1.2569804332904068E-3</v>
      </c>
      <c r="G69" s="181">
        <f>SQRT(G25^2+G27^2+H67^2)/1000</f>
        <v>7.9372540303477635E-4</v>
      </c>
      <c r="H69" s="53"/>
      <c r="I69" s="282"/>
      <c r="J69" s="283"/>
      <c r="K69" s="282"/>
      <c r="L69" s="282"/>
      <c r="Q69" s="274">
        <f>E69</f>
        <v>1.965324355533381E-3</v>
      </c>
      <c r="R69" s="274">
        <f>F69</f>
        <v>1.2569804332904068E-3</v>
      </c>
      <c r="S69" s="274">
        <f>G69</f>
        <v>7.9372540303477635E-4</v>
      </c>
    </row>
    <row r="70" spans="1:31">
      <c r="A70" s="284" t="str">
        <f>C28</f>
        <v>21701S004</v>
      </c>
      <c r="B70" s="284"/>
      <c r="C70" s="284" t="str">
        <f>C26</f>
        <v>21701M002</v>
      </c>
      <c r="E70" s="3">
        <f t="shared" ref="E70" si="11">Q70/1000</f>
        <v>-164.90782410692438</v>
      </c>
      <c r="F70" s="3">
        <f t="shared" ref="F70" si="12">R70/1000</f>
        <v>-156.09816117855817</v>
      </c>
      <c r="G70" s="3">
        <f t="shared" ref="G70" si="13">S70/1000</f>
        <v>-17.781514281133333</v>
      </c>
      <c r="I70" s="280">
        <f>I28</f>
        <v>1857</v>
      </c>
      <c r="J70" s="281"/>
      <c r="K70" s="280">
        <f>I26</f>
        <v>7335</v>
      </c>
      <c r="L70" s="280" t="s">
        <v>198</v>
      </c>
      <c r="Q70" s="274">
        <f>(Q28-Q26)*1000</f>
        <v>-164907.82410692438</v>
      </c>
      <c r="R70" s="274">
        <f>(R28-R26)*1000</f>
        <v>-156098.16117855816</v>
      </c>
      <c r="S70" s="274">
        <f>(S28-S26)*1000</f>
        <v>-17781.514281133332</v>
      </c>
      <c r="U70" s="1">
        <f>E70-Q70</f>
        <v>164742.91628281746</v>
      </c>
      <c r="V70" s="1">
        <f>F70-R70</f>
        <v>155942.06301737961</v>
      </c>
      <c r="W70" s="1">
        <f>G70-S70</f>
        <v>17763.732766852198</v>
      </c>
      <c r="Y70" s="1">
        <f>E70-E80</f>
        <v>2.0778142085475793E-3</v>
      </c>
      <c r="Z70" s="1">
        <f>F70-F80</f>
        <v>-6.0952234974820385E-5</v>
      </c>
      <c r="AA70" s="1">
        <f>G70-G80</f>
        <v>9.0657213394251812E-4</v>
      </c>
    </row>
    <row r="71" spans="1:31">
      <c r="A71" s="285"/>
      <c r="B71" s="285"/>
      <c r="C71" s="285"/>
      <c r="D71" s="53"/>
      <c r="E71" s="181">
        <f>SQRT(E27^2+E29^2+F67^2)/1000</f>
        <v>1.8821529753058595E-3</v>
      </c>
      <c r="F71" s="181">
        <f>SQRT(F27^2+F29^2+G67^2)/1000</f>
        <v>8.1853516092770184E-4</v>
      </c>
      <c r="G71" s="181">
        <f>SQRT(G27^2+G29^2+H67^2)/1000</f>
        <v>7.9372540303477635E-4</v>
      </c>
      <c r="H71" s="53"/>
      <c r="I71" s="282"/>
      <c r="J71" s="283"/>
      <c r="K71" s="282"/>
      <c r="L71" s="282"/>
      <c r="Q71" s="274">
        <f>E71</f>
        <v>1.8821529753058595E-3</v>
      </c>
      <c r="R71" s="274">
        <f>F71</f>
        <v>8.1853516092770184E-4</v>
      </c>
      <c r="S71" s="274">
        <f>G71</f>
        <v>7.9372540303477635E-4</v>
      </c>
    </row>
    <row r="72" spans="1:31">
      <c r="A72" s="286" t="str">
        <f>C30</f>
        <v>21701S007</v>
      </c>
      <c r="B72" s="286"/>
      <c r="C72" s="286" t="str">
        <f>C26</f>
        <v>21701M002</v>
      </c>
      <c r="D72" s="81"/>
      <c r="E72" s="3">
        <f t="shared" ref="E72" si="14">Q72/1000</f>
        <v>-41.040858741111585</v>
      </c>
      <c r="F72" s="3">
        <f t="shared" ref="F72" si="15">R72/1000</f>
        <v>24.039490812634732</v>
      </c>
      <c r="G72" s="3">
        <f t="shared" ref="G72" si="16">S72/1000</f>
        <v>-78.013969894482301</v>
      </c>
      <c r="H72" s="81"/>
      <c r="I72" s="287" t="str">
        <f>I30</f>
        <v>KSMV</v>
      </c>
      <c r="J72" s="288"/>
      <c r="K72" s="287">
        <f>I26</f>
        <v>7335</v>
      </c>
      <c r="L72" s="287" t="s">
        <v>198</v>
      </c>
      <c r="Q72" s="274">
        <f>(Q30-Q26)*1000</f>
        <v>-41040.858741111588</v>
      </c>
      <c r="R72" s="274">
        <f>(R30-R26)*1000</f>
        <v>24039.490812634733</v>
      </c>
      <c r="S72" s="274">
        <f>(S30-S26)*1000</f>
        <v>-78013.969894482303</v>
      </c>
      <c r="U72" s="1">
        <f>E72-Q72</f>
        <v>40999.817882370473</v>
      </c>
      <c r="V72" s="1">
        <f>F72-R72</f>
        <v>-24015.451321822096</v>
      </c>
      <c r="W72" s="1">
        <f>G72-S72</f>
        <v>77935.955924587819</v>
      </c>
      <c r="Y72" s="1">
        <f>E72-E84</f>
        <v>-2.825689172901491E-3</v>
      </c>
      <c r="Z72" s="1">
        <f>F72-F84</f>
        <v>9.8405700503434446E-4</v>
      </c>
      <c r="AA72" s="1">
        <f>G72-G84</f>
        <v>5.5498891208571877E-4</v>
      </c>
    </row>
    <row r="73" spans="1:31">
      <c r="A73" s="285"/>
      <c r="B73" s="285"/>
      <c r="C73" s="285"/>
      <c r="D73" s="53"/>
      <c r="E73" s="181">
        <f>SQRT(E27^2+E31^2+F67^2)/1000</f>
        <v>2.0766559229811517E-3</v>
      </c>
      <c r="F73" s="181">
        <f>SQRT(F27^2+F31^2+G67^2)/1000</f>
        <v>1.6822603275578184E-3</v>
      </c>
      <c r="G73" s="181">
        <f>SQRT(G27^2+G31^2+H67^2)/1000</f>
        <v>8.3666003575091257E-4</v>
      </c>
      <c r="H73" s="53"/>
      <c r="I73" s="282"/>
      <c r="J73" s="283"/>
      <c r="K73" s="282"/>
      <c r="L73" s="282"/>
      <c r="Q73" s="274">
        <f>E73</f>
        <v>2.0766559229811517E-3</v>
      </c>
      <c r="R73" s="274">
        <f>F73</f>
        <v>1.6822603275578184E-3</v>
      </c>
      <c r="S73" s="274">
        <f>G73</f>
        <v>8.3666003575091257E-4</v>
      </c>
    </row>
    <row r="74" spans="1:31">
      <c r="A74" s="284" t="str">
        <f>C32</f>
        <v>KASL</v>
      </c>
      <c r="B74" s="284"/>
      <c r="C74" s="284" t="str">
        <f>C26</f>
        <v>21701M002</v>
      </c>
      <c r="E74" s="3">
        <f t="shared" ref="E74" si="17">Q74/1000</f>
        <v>0.79787974798160866</v>
      </c>
      <c r="F74" s="3">
        <f t="shared" ref="F74" si="18">R74/1000</f>
        <v>-2.6353004439351757</v>
      </c>
      <c r="G74" s="3">
        <f t="shared" ref="G74" si="19">S74/1000</f>
        <v>10.717922282276289</v>
      </c>
      <c r="I74" s="280" t="str">
        <f>I32</f>
        <v>KASL</v>
      </c>
      <c r="J74" s="281"/>
      <c r="K74" s="280">
        <f>I26</f>
        <v>7335</v>
      </c>
      <c r="L74" s="287" t="s">
        <v>198</v>
      </c>
      <c r="N74" t="s">
        <v>196</v>
      </c>
      <c r="Q74" s="274">
        <f>(Q32-Q26)*1000</f>
        <v>797.8797479816086</v>
      </c>
      <c r="R74" s="274">
        <f>(R32-R26)*1000</f>
        <v>-2635.3004439351757</v>
      </c>
      <c r="S74" s="274">
        <f>(S32-S26)*1000</f>
        <v>10717.922282276289</v>
      </c>
      <c r="U74" s="1">
        <f>E74-Q74</f>
        <v>-797.08186823362701</v>
      </c>
      <c r="V74" s="1">
        <f>F74-R74</f>
        <v>2632.6651434912405</v>
      </c>
      <c r="W74" s="1">
        <f>G74-S74</f>
        <v>-10707.204359994013</v>
      </c>
      <c r="Y74" s="1">
        <f>E74-E86</f>
        <v>1.8578003586218195E-3</v>
      </c>
      <c r="Z74" s="1">
        <f>F74-F86</f>
        <v>-7.8552991055147459E-4</v>
      </c>
      <c r="AA74" s="1">
        <f>G74-G86</f>
        <v>-9.0907683174812348E-4</v>
      </c>
    </row>
    <row r="75" spans="1:31">
      <c r="A75" s="285"/>
      <c r="B75" s="285"/>
      <c r="C75" s="285"/>
      <c r="D75" s="53"/>
      <c r="E75" s="181">
        <f>SQRT(E27^2+E33^2+F67^2)/1000</f>
        <v>1.8741664340321271E-3</v>
      </c>
      <c r="F75" s="181">
        <f>SQRT(F27^2+F33^2+G67^2)/1000</f>
        <v>7.6811445089578856E-4</v>
      </c>
      <c r="G75" s="181">
        <f>SQRT(G27^2+G33^2+H67^2)/1000</f>
        <v>7.4161985910756081E-4</v>
      </c>
      <c r="H75" s="53"/>
      <c r="I75" s="282"/>
      <c r="J75" s="283"/>
      <c r="K75" s="282"/>
      <c r="L75" s="282"/>
      <c r="Q75" s="274">
        <f>E75</f>
        <v>1.8741664340321271E-3</v>
      </c>
      <c r="R75" s="274">
        <f>F75</f>
        <v>7.6811445089578856E-4</v>
      </c>
      <c r="S75" s="274">
        <f>G75</f>
        <v>7.4161985910756081E-4</v>
      </c>
    </row>
    <row r="76" spans="1:31">
      <c r="E76" s="3"/>
      <c r="F76" s="3"/>
      <c r="G76" s="3"/>
      <c r="Q76" s="1"/>
      <c r="R76" s="1"/>
      <c r="S76" s="1"/>
    </row>
    <row r="77" spans="1:31" ht="15.75" thickBot="1">
      <c r="A77" s="36"/>
      <c r="B77" s="36"/>
      <c r="C77" s="36"/>
      <c r="D77" s="36"/>
      <c r="E77" s="223" t="s">
        <v>241</v>
      </c>
      <c r="F77" s="223">
        <v>1.8688231116006404</v>
      </c>
      <c r="G77" s="223">
        <v>0.7549833174812135</v>
      </c>
      <c r="H77" s="206">
        <v>0.72801099952041815</v>
      </c>
      <c r="I77" s="207"/>
      <c r="J77" s="208"/>
      <c r="K77" s="207"/>
      <c r="L77" s="207"/>
      <c r="Q77" s="214"/>
      <c r="R77" s="214"/>
      <c r="S77" s="214"/>
    </row>
    <row r="78" spans="1:31" ht="15.75" thickTop="1">
      <c r="A78" s="284" t="str">
        <f>C36</f>
        <v>21701S006</v>
      </c>
      <c r="B78" s="284"/>
      <c r="C78" s="284" t="str">
        <f>C38</f>
        <v>21701M002</v>
      </c>
      <c r="E78" s="3">
        <f t="shared" ref="E78" si="20">Q78/1000</f>
        <v>-21.330481790383882</v>
      </c>
      <c r="F78" s="3">
        <f t="shared" ref="F78" si="21">R78/1000</f>
        <v>31.528869041333984</v>
      </c>
      <c r="G78" s="3">
        <f t="shared" ref="G78" si="22">S78/1000</f>
        <v>-55.905434352562018</v>
      </c>
      <c r="I78" s="280">
        <f>I36</f>
        <v>7334</v>
      </c>
      <c r="J78" s="281"/>
      <c r="K78" s="280">
        <f>I38</f>
        <v>7335</v>
      </c>
      <c r="L78" s="280" t="s">
        <v>199</v>
      </c>
      <c r="Q78" s="274">
        <f>(Q36-Q38)*1000</f>
        <v>-21330.481790383881</v>
      </c>
      <c r="R78" s="274">
        <f>(R36-R38)*1000</f>
        <v>31528.869041333983</v>
      </c>
      <c r="S78" s="274">
        <f>(S36-S38)*1000</f>
        <v>-55905.434352562021</v>
      </c>
      <c r="U78" s="1">
        <f>E78-Q78</f>
        <v>21309.151308593497</v>
      </c>
      <c r="V78" s="1">
        <f>F78-R78</f>
        <v>-31497.34017229265</v>
      </c>
      <c r="W78" s="1">
        <f>G78-S78</f>
        <v>55849.528918209457</v>
      </c>
    </row>
    <row r="79" spans="1:31">
      <c r="A79" s="285"/>
      <c r="B79" s="285"/>
      <c r="C79" s="285"/>
      <c r="D79" s="53"/>
      <c r="E79" s="181">
        <f>SQRT(E37^2+E39^2+F77^2)/1000</f>
        <v>1.965324355533381E-3</v>
      </c>
      <c r="F79" s="181">
        <f>SQRT(F37^2+F39^2+G77^2)/1000</f>
        <v>1.2569804332904068E-3</v>
      </c>
      <c r="G79" s="181">
        <f>SQRT(G37^2+G39^2+H77^2)/1000</f>
        <v>7.9372540303477635E-4</v>
      </c>
      <c r="H79" s="53"/>
      <c r="I79" s="282"/>
      <c r="J79" s="283"/>
      <c r="K79" s="282"/>
      <c r="L79" s="282"/>
      <c r="Q79" s="274">
        <f>E79</f>
        <v>1.965324355533381E-3</v>
      </c>
      <c r="R79" s="274">
        <f>F79</f>
        <v>1.2569804332904068E-3</v>
      </c>
      <c r="S79" s="274">
        <f>G79</f>
        <v>7.9372540303477635E-4</v>
      </c>
    </row>
    <row r="80" spans="1:31">
      <c r="A80" s="284" t="str">
        <f>C40</f>
        <v>21701S004</v>
      </c>
      <c r="B80" s="284"/>
      <c r="C80" s="284" t="str">
        <f>C38</f>
        <v>21701M002</v>
      </c>
      <c r="E80" s="3">
        <f t="shared" ref="E80" si="23">Q80/1000</f>
        <v>-164.90990192113293</v>
      </c>
      <c r="F80" s="3">
        <f t="shared" ref="F80" si="24">R80/1000</f>
        <v>-156.0981002263232</v>
      </c>
      <c r="G80" s="3">
        <f t="shared" ref="G80" si="25">S80/1000</f>
        <v>-17.782420853267276</v>
      </c>
      <c r="I80" s="280">
        <f>I40</f>
        <v>1857</v>
      </c>
      <c r="J80" s="281"/>
      <c r="K80" s="280">
        <f>I38</f>
        <v>7335</v>
      </c>
      <c r="L80" s="280" t="s">
        <v>199</v>
      </c>
      <c r="Q80" s="274">
        <f>(Q40-Q38)*1000</f>
        <v>-164909.90192113293</v>
      </c>
      <c r="R80" s="274">
        <f>(R40-R38)*1000</f>
        <v>-156098.10022632321</v>
      </c>
      <c r="S80" s="274">
        <f>(S40-S38)*1000</f>
        <v>-17782.420853267275</v>
      </c>
      <c r="U80" s="1">
        <f>E80-Q80</f>
        <v>164744.99201921179</v>
      </c>
      <c r="V80" s="1">
        <f>F80-R80</f>
        <v>155942.00212609689</v>
      </c>
      <c r="W80" s="1">
        <f>G80-S80</f>
        <v>17764.638432414009</v>
      </c>
    </row>
    <row r="81" spans="1:23">
      <c r="A81" s="285"/>
      <c r="B81" s="285"/>
      <c r="C81" s="285"/>
      <c r="D81" s="53"/>
      <c r="E81" s="181">
        <f>SQRT(E39^2+E41^2+F77^2)/1000</f>
        <v>1.8821529753058595E-3</v>
      </c>
      <c r="F81" s="181">
        <f>SQRT(F39^2+F41^2+G77^2)/1000</f>
        <v>8.1853516092770184E-4</v>
      </c>
      <c r="G81" s="181">
        <f>SQRT(G39^2+G41^2+H77^2)/1000</f>
        <v>7.9372540303477635E-4</v>
      </c>
      <c r="H81" s="53"/>
      <c r="I81" s="282"/>
      <c r="J81" s="283"/>
      <c r="K81" s="282"/>
      <c r="L81" s="282"/>
      <c r="Q81" s="274">
        <f>E81</f>
        <v>1.8821529753058595E-3</v>
      </c>
      <c r="R81" s="274">
        <f>F81</f>
        <v>8.1853516092770184E-4</v>
      </c>
      <c r="S81" s="274">
        <f>G81</f>
        <v>7.9372540303477635E-4</v>
      </c>
    </row>
    <row r="82" spans="1:23">
      <c r="A82" s="289" t="str">
        <f>C42</f>
        <v>21701S001</v>
      </c>
      <c r="B82" s="289"/>
      <c r="C82" s="284" t="str">
        <f>C38</f>
        <v>21701M002</v>
      </c>
      <c r="D82" s="7"/>
      <c r="E82" s="3">
        <f t="shared" ref="E82" si="26">Q82/1000</f>
        <v>-407.9285843484169</v>
      </c>
      <c r="F82" s="3">
        <f t="shared" ref="F82" si="27">R82/1000</f>
        <v>-265.59221165151644</v>
      </c>
      <c r="G82" s="3">
        <f t="shared" ref="G82" si="28">S82/1000</f>
        <v>-178.39073720899327</v>
      </c>
      <c r="H82" s="7"/>
      <c r="I82" s="290">
        <f>I42</f>
        <v>1856</v>
      </c>
      <c r="J82" s="291"/>
      <c r="K82" s="290">
        <f>I38</f>
        <v>7335</v>
      </c>
      <c r="L82" s="280" t="s">
        <v>199</v>
      </c>
      <c r="Q82" s="274">
        <f>(Q42-Q38)*1000</f>
        <v>-407928.58434841689</v>
      </c>
      <c r="R82" s="274">
        <f>(R42-R38)*1000</f>
        <v>-265592.21165151644</v>
      </c>
      <c r="S82" s="274">
        <f>(S42-S38)*1000</f>
        <v>-178390.73720899326</v>
      </c>
      <c r="U82" s="1">
        <f>E82-Q82</f>
        <v>407520.65576406848</v>
      </c>
      <c r="V82" s="1">
        <f>F82-R82</f>
        <v>265326.61943986494</v>
      </c>
      <c r="W82" s="1">
        <f>G82-S82</f>
        <v>178212.34647178426</v>
      </c>
    </row>
    <row r="83" spans="1:23">
      <c r="A83" s="289"/>
      <c r="B83" s="289"/>
      <c r="C83" s="289"/>
      <c r="D83" s="7"/>
      <c r="E83" s="16">
        <f>SQRT(E43^2+E39^2+F77^2)/1000</f>
        <v>1.8953890952658505E-3</v>
      </c>
      <c r="F83" s="16">
        <f>SQRT(F43^2+F39^2+G77^2)/1000</f>
        <v>8.1853516092770184E-4</v>
      </c>
      <c r="G83" s="16">
        <f>SQRT(G43^2+G39^2+H77^2)/1000</f>
        <v>8.3666003575091257E-4</v>
      </c>
      <c r="H83" s="7"/>
      <c r="I83" s="290"/>
      <c r="J83" s="291"/>
      <c r="K83" s="290"/>
      <c r="L83" s="290"/>
      <c r="Q83" s="274">
        <f>E83</f>
        <v>1.8953890952658505E-3</v>
      </c>
      <c r="R83" s="274">
        <f>F83</f>
        <v>8.1853516092770184E-4</v>
      </c>
      <c r="S83" s="274">
        <f>G83</f>
        <v>8.3666003575091257E-4</v>
      </c>
    </row>
    <row r="84" spans="1:23">
      <c r="A84" s="284" t="str">
        <f>C44</f>
        <v>21701S007</v>
      </c>
      <c r="B84" s="284"/>
      <c r="C84" s="284" t="str">
        <f>C38</f>
        <v>21701M002</v>
      </c>
      <c r="E84" s="3">
        <f t="shared" ref="E84" si="29">Q84/1000</f>
        <v>-41.038033051938683</v>
      </c>
      <c r="F84" s="3">
        <f t="shared" ref="F84" si="30">R84/1000</f>
        <v>24.038506755629697</v>
      </c>
      <c r="G84" s="3">
        <f t="shared" ref="G84" si="31">S84/1000</f>
        <v>-78.014524883394387</v>
      </c>
      <c r="I84" s="280" t="str">
        <f>I44</f>
        <v>KSMV</v>
      </c>
      <c r="J84" s="281"/>
      <c r="K84" s="280">
        <f>I38</f>
        <v>7335</v>
      </c>
      <c r="L84" s="280" t="s">
        <v>199</v>
      </c>
      <c r="Q84" s="274">
        <f>(Q44-Q38)*1000</f>
        <v>-41038.033051938684</v>
      </c>
      <c r="R84" s="274">
        <f>(R44-R38)*1000</f>
        <v>24038.506755629696</v>
      </c>
      <c r="S84" s="274">
        <f>(S44-S38)*1000</f>
        <v>-78014.524883394392</v>
      </c>
      <c r="U84" s="1">
        <f>E84-Q84</f>
        <v>40996.995018886744</v>
      </c>
      <c r="V84" s="1">
        <f>F84-R84</f>
        <v>-24014.468248874065</v>
      </c>
      <c r="W84" s="1">
        <f>G84-S84</f>
        <v>77936.51035851099</v>
      </c>
    </row>
    <row r="85" spans="1:23">
      <c r="A85" s="285"/>
      <c r="B85" s="285"/>
      <c r="C85" s="285"/>
      <c r="D85" s="53"/>
      <c r="E85" s="181">
        <f>SQRT(E39^2+E45^2)/1000</f>
        <v>9.0553851381374177E-4</v>
      </c>
      <c r="F85" s="181">
        <f>SQRT(F39^2+F45^2)/1000</f>
        <v>1.5033296378372907E-3</v>
      </c>
      <c r="G85" s="181">
        <f>SQRT(G39^2+G45^2)/1000</f>
        <v>4.1231056256176615E-4</v>
      </c>
      <c r="H85" s="53"/>
      <c r="I85" s="282"/>
      <c r="J85" s="283"/>
      <c r="K85" s="282"/>
      <c r="L85" s="282"/>
      <c r="Q85" s="274">
        <f>E85</f>
        <v>9.0553851381374177E-4</v>
      </c>
      <c r="R85" s="274">
        <f>F85</f>
        <v>1.5033296378372907E-3</v>
      </c>
      <c r="S85" s="274">
        <f>G85</f>
        <v>4.1231056256176615E-4</v>
      </c>
    </row>
    <row r="86" spans="1:23">
      <c r="A86" s="284" t="str">
        <f>C46</f>
        <v>KASL</v>
      </c>
      <c r="B86" s="284"/>
      <c r="C86" s="284" t="str">
        <f>C38</f>
        <v>21701M002</v>
      </c>
      <c r="E86" s="3">
        <f t="shared" ref="E86" si="32">Q86/1000</f>
        <v>0.79602194762298684</v>
      </c>
      <c r="F86" s="3">
        <f t="shared" ref="F86" si="33">R86/1000</f>
        <v>-2.6345149140246242</v>
      </c>
      <c r="G86" s="3">
        <f t="shared" ref="G86" si="34">S86/1000</f>
        <v>10.718831359108037</v>
      </c>
      <c r="I86" s="280" t="str">
        <f>I46</f>
        <v>KASL</v>
      </c>
      <c r="J86" s="281"/>
      <c r="K86" s="280">
        <f>I38</f>
        <v>7335</v>
      </c>
      <c r="L86" s="280" t="s">
        <v>199</v>
      </c>
      <c r="N86" t="s">
        <v>196</v>
      </c>
      <c r="Q86" s="274">
        <f>(Q46-Q38)*1000</f>
        <v>796.02194762298689</v>
      </c>
      <c r="R86" s="274">
        <f>(R46-R38)*1000</f>
        <v>-2634.5149140246244</v>
      </c>
      <c r="S86" s="274">
        <f>(S46-S38)*1000</f>
        <v>10718.831359108037</v>
      </c>
      <c r="U86" s="1">
        <f>E86-Q86</f>
        <v>-795.2259256753639</v>
      </c>
      <c r="V86" s="1">
        <f>F86-R86</f>
        <v>2631.8803991105997</v>
      </c>
      <c r="W86" s="1">
        <f>G86-S86</f>
        <v>-10708.112527748928</v>
      </c>
    </row>
    <row r="87" spans="1:23">
      <c r="A87" s="285"/>
      <c r="B87" s="285"/>
      <c r="C87" s="285"/>
      <c r="D87" s="53"/>
      <c r="E87" s="181">
        <f>SQRT(E39^2+E47^2+F77^2)/1000</f>
        <v>1.8741664340321271E-3</v>
      </c>
      <c r="F87" s="181">
        <f>SQRT(F39^2+F47^2+G77^2)/1000</f>
        <v>7.6811445089578856E-4</v>
      </c>
      <c r="G87" s="181">
        <f>SQRT(G39^2+G47^2+H77^2)/1000</f>
        <v>7.4161985910756081E-4</v>
      </c>
      <c r="H87" s="53"/>
      <c r="I87" s="282"/>
      <c r="J87" s="283"/>
      <c r="K87" s="282"/>
      <c r="L87" s="282"/>
      <c r="Q87" s="274">
        <f>E87</f>
        <v>1.8741664340321271E-3</v>
      </c>
      <c r="R87" s="274">
        <f>F87</f>
        <v>7.6811445089578856E-4</v>
      </c>
      <c r="S87" s="274">
        <f>G87</f>
        <v>7.4161985910756081E-4</v>
      </c>
    </row>
    <row r="88" spans="1:23">
      <c r="E88" s="3"/>
      <c r="F88" s="3"/>
      <c r="G88" s="3"/>
    </row>
    <row r="89" spans="1:23">
      <c r="E89" s="3"/>
      <c r="F89" s="3"/>
      <c r="G89" s="3"/>
    </row>
  </sheetData>
  <pageMargins left="0.7" right="0.7" top="0.75" bottom="0.75" header="0.3" footer="0.3"/>
  <pageSetup paperSize="9" scale="70" orientation="portrait" horizontalDpi="4294967294"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2D3E2-7574-4EA4-8DDB-13FB85D1D9BF}">
  <dimension ref="A1:AH101"/>
  <sheetViews>
    <sheetView workbookViewId="0">
      <selection activeCell="Q66" sqref="Q66"/>
    </sheetView>
  </sheetViews>
  <sheetFormatPr defaultRowHeight="15"/>
  <cols>
    <col min="1" max="1" width="12" customWidth="1"/>
    <col min="2" max="2" width="4.28515625" customWidth="1"/>
    <col min="3" max="3" width="10.85546875" customWidth="1"/>
    <col min="4" max="4" width="8.5703125" customWidth="1"/>
    <col min="5" max="7" width="14.28515625" customWidth="1"/>
    <col min="9" max="9" width="9.140625" style="196"/>
  </cols>
  <sheetData>
    <row r="1" spans="1:34" ht="15.75" thickBot="1">
      <c r="C1" t="s">
        <v>178</v>
      </c>
      <c r="D1" t="s">
        <v>177</v>
      </c>
      <c r="E1" s="1"/>
      <c r="F1" s="1"/>
      <c r="G1" s="1"/>
      <c r="I1" s="200"/>
      <c r="J1" s="9"/>
      <c r="K1" s="200"/>
      <c r="L1" s="200"/>
      <c r="P1" s="249" t="s">
        <v>215</v>
      </c>
      <c r="W1" t="s">
        <v>216</v>
      </c>
      <c r="Y1" s="54" t="s">
        <v>217</v>
      </c>
      <c r="Z1" s="54" t="s">
        <v>218</v>
      </c>
      <c r="AA1" s="54"/>
      <c r="AF1" t="s">
        <v>223</v>
      </c>
    </row>
    <row r="2" spans="1:34">
      <c r="E2" s="1"/>
      <c r="F2" s="1"/>
      <c r="G2" s="1"/>
      <c r="I2" s="200"/>
      <c r="J2" s="9"/>
      <c r="K2" s="200"/>
      <c r="L2" s="200"/>
      <c r="P2" s="249"/>
      <c r="X2" s="2" t="s">
        <v>181</v>
      </c>
      <c r="Y2" s="2">
        <v>16.399999999999999</v>
      </c>
      <c r="Z2" s="2">
        <v>-24.3</v>
      </c>
      <c r="AA2" s="2" t="s">
        <v>219</v>
      </c>
      <c r="AB2" s="2">
        <f>RADIANS(Y2/3600)</f>
        <v>7.9509443701963883E-5</v>
      </c>
      <c r="AC2" s="2">
        <f>RADIANS(Z2/3600)</f>
        <v>-1.1780972450961724E-4</v>
      </c>
      <c r="AD2" s="2" t="s">
        <v>220</v>
      </c>
      <c r="AF2" s="17">
        <v>1</v>
      </c>
      <c r="AG2" s="18">
        <v>0</v>
      </c>
      <c r="AH2" s="19">
        <f>-AF4</f>
        <v>24.3</v>
      </c>
    </row>
    <row r="3" spans="1:34">
      <c r="E3" s="1"/>
      <c r="F3" s="1"/>
      <c r="G3" s="1"/>
      <c r="I3" s="200"/>
      <c r="J3" s="9"/>
      <c r="K3" s="200"/>
      <c r="L3" s="200"/>
      <c r="P3" s="249"/>
      <c r="X3" s="2" t="s">
        <v>187</v>
      </c>
      <c r="Y3" s="2">
        <v>11.4</v>
      </c>
      <c r="Z3" s="2">
        <v>-17.399999999999999</v>
      </c>
      <c r="AA3" s="2" t="s">
        <v>219</v>
      </c>
      <c r="AB3" s="2">
        <f t="shared" ref="AB3:AC5" si="0">RADIANS(Y3/3600)</f>
        <v>5.5268759646487099E-5</v>
      </c>
      <c r="AC3" s="2">
        <f t="shared" si="0"/>
        <v>-8.4357580513059246E-5</v>
      </c>
      <c r="AD3" s="2" t="s">
        <v>220</v>
      </c>
      <c r="AF3" s="20">
        <v>0</v>
      </c>
      <c r="AG3" s="2">
        <v>1</v>
      </c>
      <c r="AH3" s="21">
        <f>-AG4</f>
        <v>-16.399999999999999</v>
      </c>
    </row>
    <row r="4" spans="1:34" ht="15.75" thickBot="1">
      <c r="E4" s="1"/>
      <c r="F4" s="1"/>
      <c r="G4" s="1"/>
      <c r="I4" s="200"/>
      <c r="J4" s="9"/>
      <c r="K4" s="200"/>
      <c r="L4" s="200"/>
      <c r="P4" s="249"/>
      <c r="X4" s="2" t="s">
        <v>221</v>
      </c>
      <c r="Y4" s="2">
        <v>-1.9</v>
      </c>
      <c r="Z4" s="2">
        <v>-9.3000000000000007</v>
      </c>
      <c r="AA4" s="2" t="s">
        <v>219</v>
      </c>
      <c r="AB4" s="2">
        <f t="shared" si="0"/>
        <v>-9.2114599410811831E-6</v>
      </c>
      <c r="AC4" s="2">
        <f t="shared" si="0"/>
        <v>-4.5087672343186846E-5</v>
      </c>
      <c r="AD4" s="2" t="s">
        <v>220</v>
      </c>
      <c r="AF4" s="22">
        <f>Z2</f>
        <v>-24.3</v>
      </c>
      <c r="AG4" s="23">
        <f>Y2</f>
        <v>16.399999999999999</v>
      </c>
      <c r="AH4" s="24">
        <v>1</v>
      </c>
    </row>
    <row r="5" spans="1:34">
      <c r="C5" t="s">
        <v>180</v>
      </c>
      <c r="D5" t="s">
        <v>187</v>
      </c>
      <c r="E5" s="1"/>
      <c r="F5" s="1"/>
      <c r="G5" s="1"/>
      <c r="I5" s="200"/>
      <c r="J5" s="9"/>
      <c r="K5" s="200"/>
      <c r="L5" s="200"/>
      <c r="Q5" t="s">
        <v>213</v>
      </c>
      <c r="U5" t="s">
        <v>187</v>
      </c>
      <c r="X5" s="2" t="s">
        <v>222</v>
      </c>
      <c r="Y5" s="2">
        <v>-4.5</v>
      </c>
      <c r="Z5" s="2">
        <v>13.6</v>
      </c>
      <c r="AA5" s="2" t="s">
        <v>219</v>
      </c>
      <c r="AB5" s="2">
        <f t="shared" si="0"/>
        <v>-2.1816615649929121E-5</v>
      </c>
      <c r="AC5" s="2">
        <f t="shared" si="0"/>
        <v>6.5934660630896893E-5</v>
      </c>
      <c r="AD5" s="2" t="s">
        <v>220</v>
      </c>
    </row>
    <row r="6" spans="1:34">
      <c r="A6" s="2"/>
      <c r="B6" s="2"/>
      <c r="C6" s="2" t="s">
        <v>179</v>
      </c>
      <c r="D6" s="2"/>
      <c r="E6" s="6"/>
      <c r="F6" s="6"/>
      <c r="G6" s="6"/>
      <c r="H6" s="2"/>
      <c r="I6" s="201" t="s">
        <v>184</v>
      </c>
      <c r="J6" s="194"/>
      <c r="K6" s="201"/>
      <c r="L6" s="201"/>
    </row>
    <row r="7" spans="1:34" ht="15.75" thickBot="1">
      <c r="A7" s="60"/>
      <c r="B7" s="60"/>
      <c r="C7" s="60"/>
      <c r="D7" s="60"/>
      <c r="E7" s="216" t="s">
        <v>22</v>
      </c>
      <c r="F7" s="217" t="s">
        <v>23</v>
      </c>
      <c r="G7" s="217" t="s">
        <v>24</v>
      </c>
      <c r="H7" s="218"/>
      <c r="I7" s="219"/>
      <c r="J7" s="113"/>
      <c r="K7" s="219" t="s">
        <v>183</v>
      </c>
      <c r="L7" s="219" t="s">
        <v>182</v>
      </c>
      <c r="O7" t="s">
        <v>214</v>
      </c>
      <c r="P7" t="s">
        <v>207</v>
      </c>
      <c r="Q7" s="216" t="s">
        <v>22</v>
      </c>
      <c r="R7" s="217" t="s">
        <v>23</v>
      </c>
      <c r="S7" s="217" t="s">
        <v>24</v>
      </c>
      <c r="U7" s="219" t="s">
        <v>183</v>
      </c>
      <c r="V7" s="219" t="s">
        <v>182</v>
      </c>
    </row>
    <row r="8" spans="1:34" ht="15.75" thickTop="1">
      <c r="A8" s="56" t="s">
        <v>62</v>
      </c>
      <c r="B8" s="56"/>
      <c r="C8" s="56" t="s">
        <v>176</v>
      </c>
      <c r="D8" s="56"/>
      <c r="E8" s="50">
        <v>-3941937.4065</v>
      </c>
      <c r="F8" s="50">
        <v>3368150.8613</v>
      </c>
      <c r="G8" s="50">
        <v>3702235.2773000002</v>
      </c>
      <c r="H8" s="56"/>
      <c r="I8" s="199">
        <v>7327</v>
      </c>
      <c r="J8" s="56"/>
      <c r="K8" s="56">
        <v>1996</v>
      </c>
      <c r="L8" s="56">
        <v>275</v>
      </c>
      <c r="N8" t="str">
        <f>A8</f>
        <v>Kog11-CP0</v>
      </c>
      <c r="O8" t="str">
        <f>C8</f>
        <v>21704S004</v>
      </c>
      <c r="P8" s="248">
        <f>I8</f>
        <v>7327</v>
      </c>
      <c r="Q8" s="250">
        <f>H11kog!BI14</f>
        <v>33.272745085856727</v>
      </c>
      <c r="R8" s="250">
        <f>H11kog!BJ14</f>
        <v>19.187327951726374</v>
      </c>
      <c r="S8" s="250">
        <f>H11kog!BK14</f>
        <v>36.610193421426615</v>
      </c>
      <c r="U8" s="248">
        <f>K8</f>
        <v>1996</v>
      </c>
      <c r="V8" s="248">
        <f>L8</f>
        <v>275</v>
      </c>
    </row>
    <row r="9" spans="1:34">
      <c r="A9" s="2"/>
      <c r="B9" s="2"/>
      <c r="C9" s="2"/>
      <c r="D9" s="2"/>
      <c r="E9" s="6">
        <v>0.4</v>
      </c>
      <c r="F9" s="6">
        <v>0.4</v>
      </c>
      <c r="G9" s="6">
        <v>0.3</v>
      </c>
      <c r="H9" s="2"/>
      <c r="I9" s="195"/>
      <c r="J9" s="2"/>
      <c r="K9" s="2"/>
      <c r="L9" s="2"/>
      <c r="N9" t="s">
        <v>185</v>
      </c>
    </row>
    <row r="10" spans="1:34">
      <c r="A10" s="14" t="s">
        <v>139</v>
      </c>
      <c r="B10" s="14"/>
      <c r="C10" s="2" t="s">
        <v>202</v>
      </c>
      <c r="D10" s="2"/>
      <c r="E10" s="124">
        <v>-3941941.2091999999</v>
      </c>
      <c r="F10" s="124">
        <v>3368169.4896999998</v>
      </c>
      <c r="G10" s="124">
        <v>3702195.6880000001</v>
      </c>
      <c r="H10" s="2"/>
      <c r="I10" s="195">
        <v>7328</v>
      </c>
      <c r="J10" s="2"/>
      <c r="K10" s="2">
        <v>1996</v>
      </c>
      <c r="L10" s="2">
        <v>275</v>
      </c>
      <c r="N10" t="str">
        <f>A10</f>
        <v>SLR-S2(RT)</v>
      </c>
      <c r="O10" t="str">
        <f>C10</f>
        <v>21704M001</v>
      </c>
      <c r="P10" s="248">
        <f>I10</f>
        <v>7328</v>
      </c>
      <c r="Q10" s="250">
        <f>H11kog!BI13</f>
        <v>29.471937121101636</v>
      </c>
      <c r="R10" s="250">
        <f>H11kog!BJ13</f>
        <v>37.815538240758897</v>
      </c>
      <c r="S10" s="250">
        <f>H11kog!BK13</f>
        <v>-2.9986224132624439</v>
      </c>
      <c r="U10" s="248">
        <f>K10</f>
        <v>1996</v>
      </c>
      <c r="V10" s="248">
        <f>L10</f>
        <v>275</v>
      </c>
    </row>
    <row r="11" spans="1:34">
      <c r="A11" s="2"/>
      <c r="B11" s="2"/>
      <c r="C11" s="2"/>
      <c r="D11" s="2"/>
      <c r="E11" s="6">
        <v>0.2</v>
      </c>
      <c r="F11" s="6">
        <v>0.3</v>
      </c>
      <c r="G11" s="6">
        <v>1.5</v>
      </c>
      <c r="H11" s="2"/>
      <c r="I11" s="195"/>
      <c r="J11" s="2"/>
      <c r="K11" s="2"/>
      <c r="L11" s="2"/>
      <c r="N11" t="s">
        <v>185</v>
      </c>
    </row>
    <row r="12" spans="1:34">
      <c r="A12" s="14" t="s">
        <v>32</v>
      </c>
      <c r="B12" s="2"/>
      <c r="C12" s="2" t="s">
        <v>195</v>
      </c>
      <c r="D12" s="2"/>
      <c r="E12" s="14">
        <v>-3941961.4178999998</v>
      </c>
      <c r="F12" s="14">
        <v>3368148.4792999998</v>
      </c>
      <c r="G12" s="14">
        <v>3702208.6524</v>
      </c>
      <c r="H12" s="2"/>
      <c r="I12" s="195" t="s">
        <v>195</v>
      </c>
      <c r="J12" s="2"/>
      <c r="K12" s="2">
        <v>1996</v>
      </c>
      <c r="L12" s="2">
        <v>275</v>
      </c>
      <c r="N12" t="str">
        <f>A12</f>
        <v>SLR-CP0</v>
      </c>
      <c r="O12" t="str">
        <f>C12</f>
        <v>KOGL</v>
      </c>
      <c r="P12" s="248" t="str">
        <f>I12</f>
        <v>KOGL</v>
      </c>
      <c r="Q12" s="250">
        <f>H11kog!BI11</f>
        <v>9.2634355541513926</v>
      </c>
      <c r="R12" s="250">
        <f>H11kog!BJ11</f>
        <v>16.803835920864426</v>
      </c>
      <c r="S12" s="250">
        <f>H11kog!BK11</f>
        <v>9.9835424329030964</v>
      </c>
      <c r="U12" s="248">
        <f>K12</f>
        <v>1996</v>
      </c>
      <c r="V12" s="248">
        <f>L12</f>
        <v>275</v>
      </c>
    </row>
    <row r="13" spans="1:34">
      <c r="A13" s="2"/>
      <c r="B13" s="2"/>
      <c r="C13" s="2"/>
      <c r="D13" s="2"/>
      <c r="E13" s="6">
        <v>0.2</v>
      </c>
      <c r="F13" s="6">
        <v>0.3</v>
      </c>
      <c r="G13" s="6">
        <v>1.5</v>
      </c>
      <c r="H13" s="2"/>
      <c r="I13" s="195"/>
      <c r="J13" s="2"/>
      <c r="K13" s="2"/>
      <c r="L13" s="2"/>
      <c r="N13" t="s">
        <v>185</v>
      </c>
    </row>
    <row r="15" spans="1:34" ht="15.75" thickBot="1">
      <c r="Q15" s="216" t="s">
        <v>22</v>
      </c>
      <c r="R15" s="217" t="s">
        <v>23</v>
      </c>
      <c r="S15" s="217" t="s">
        <v>24</v>
      </c>
    </row>
    <row r="16" spans="1:34" ht="15.75" thickTop="1">
      <c r="A16" s="56" t="s">
        <v>62</v>
      </c>
      <c r="B16" s="56"/>
      <c r="C16" s="56" t="s">
        <v>176</v>
      </c>
      <c r="D16" s="56"/>
      <c r="E16" s="14">
        <v>-3941937.4062000001</v>
      </c>
      <c r="F16" s="14">
        <v>3368150.8602</v>
      </c>
      <c r="G16" s="14">
        <v>3702235.2757000001</v>
      </c>
      <c r="H16" s="56"/>
      <c r="I16" s="199">
        <v>7327</v>
      </c>
      <c r="J16" s="56"/>
      <c r="K16" s="56">
        <v>1997</v>
      </c>
      <c r="L16" s="56">
        <v>275</v>
      </c>
      <c r="N16" t="str">
        <f>A16</f>
        <v>Kog11-CP0</v>
      </c>
      <c r="O16" t="str">
        <f>C16</f>
        <v>21704S004</v>
      </c>
      <c r="P16" s="248">
        <f>I16</f>
        <v>7327</v>
      </c>
      <c r="Q16" s="250">
        <f>H11kog!BE14</f>
        <v>33.273046742244382</v>
      </c>
      <c r="R16" s="250">
        <f>H11kog!BF14</f>
        <v>19.186149676589672</v>
      </c>
      <c r="S16" s="250">
        <f>H11kog!BG14</f>
        <v>36.608493224035236</v>
      </c>
      <c r="U16" s="248">
        <f>K16</f>
        <v>1997</v>
      </c>
      <c r="V16" s="248">
        <f>L16</f>
        <v>275</v>
      </c>
    </row>
    <row r="17" spans="1:22">
      <c r="A17" s="2"/>
      <c r="B17" s="2"/>
      <c r="C17" s="2"/>
      <c r="D17" s="2"/>
      <c r="E17" s="6">
        <v>0.4</v>
      </c>
      <c r="F17" s="6">
        <v>0.4</v>
      </c>
      <c r="G17" s="6">
        <v>0.3</v>
      </c>
      <c r="H17" s="2"/>
      <c r="I17" s="195"/>
      <c r="J17" s="2"/>
      <c r="K17" s="2"/>
      <c r="L17" s="2"/>
      <c r="N17" t="s">
        <v>185</v>
      </c>
    </row>
    <row r="18" spans="1:22">
      <c r="A18" s="14" t="s">
        <v>139</v>
      </c>
      <c r="B18" s="14"/>
      <c r="C18" s="2" t="s">
        <v>202</v>
      </c>
      <c r="D18" s="2"/>
      <c r="E18" s="124">
        <v>-3941941.2121000001</v>
      </c>
      <c r="F18" s="124">
        <v>3368169.4876999999</v>
      </c>
      <c r="G18" s="125">
        <v>3702195.6669999999</v>
      </c>
      <c r="H18" s="2"/>
      <c r="I18" s="195">
        <v>7328</v>
      </c>
      <c r="J18" s="2"/>
      <c r="K18" s="56">
        <v>1997</v>
      </c>
      <c r="L18" s="2">
        <v>275</v>
      </c>
      <c r="N18" t="str">
        <f>A18</f>
        <v>SLR-S2(RT)</v>
      </c>
      <c r="O18" t="str">
        <f>C18</f>
        <v>21704M001</v>
      </c>
      <c r="P18" s="248">
        <f>I18</f>
        <v>7328</v>
      </c>
      <c r="Q18" s="250">
        <f>H11kog!BE13</f>
        <v>29.468072388241563</v>
      </c>
      <c r="R18" s="250">
        <f>H11kog!BF13</f>
        <v>37.814236682223978</v>
      </c>
      <c r="S18" s="250">
        <f>H11kog!BG13</f>
        <v>-2.9995812591720199</v>
      </c>
      <c r="U18" s="248">
        <f>K18</f>
        <v>1997</v>
      </c>
      <c r="V18" s="248">
        <f>L18</f>
        <v>275</v>
      </c>
    </row>
    <row r="19" spans="1:22">
      <c r="A19" s="2"/>
      <c r="B19" s="2"/>
      <c r="C19" s="2"/>
      <c r="D19" s="2"/>
      <c r="E19" s="6">
        <v>0.2</v>
      </c>
      <c r="F19" s="6">
        <v>0.3</v>
      </c>
      <c r="G19" s="6">
        <v>1.5</v>
      </c>
      <c r="H19" s="2"/>
      <c r="I19" s="195"/>
      <c r="J19" s="2"/>
      <c r="K19" s="2"/>
      <c r="L19" s="2"/>
      <c r="N19" t="s">
        <v>185</v>
      </c>
    </row>
    <row r="20" spans="1:22" ht="15.75" thickBot="1">
      <c r="A20" s="222" t="s">
        <v>119</v>
      </c>
      <c r="B20" s="2"/>
      <c r="C20" s="2" t="s">
        <v>204</v>
      </c>
      <c r="D20" s="2"/>
      <c r="E20" s="124">
        <v>-3942020.1113</v>
      </c>
      <c r="F20" s="124">
        <v>3368097.5428999998</v>
      </c>
      <c r="G20" s="125">
        <v>3702191.0310999998</v>
      </c>
      <c r="H20" s="2"/>
      <c r="I20" s="195">
        <v>7308</v>
      </c>
      <c r="J20" s="2"/>
      <c r="K20" s="56">
        <v>1997</v>
      </c>
      <c r="L20" s="2">
        <v>275</v>
      </c>
      <c r="N20" t="str">
        <f>A20</f>
        <v>SLR1.5m</v>
      </c>
      <c r="O20" t="str">
        <f>C20</f>
        <v xml:space="preserve"> 21704S002</v>
      </c>
      <c r="P20" s="248">
        <f>I20</f>
        <v>7308</v>
      </c>
      <c r="Q20" s="250">
        <f>H11kog!BE16</f>
        <v>-49.428433652770622</v>
      </c>
      <c r="R20" s="250">
        <f>H11kog!BF16</f>
        <v>-34.132635665591579</v>
      </c>
      <c r="S20" s="250">
        <f>H11kog!BG16</f>
        <v>-7.6385941680153415</v>
      </c>
      <c r="U20" s="248">
        <f>K20</f>
        <v>1997</v>
      </c>
      <c r="V20" s="248">
        <f>L20</f>
        <v>275</v>
      </c>
    </row>
    <row r="21" spans="1:22">
      <c r="A21" s="2"/>
      <c r="B21" s="2"/>
      <c r="C21" s="2"/>
      <c r="D21" s="2"/>
      <c r="E21" s="6">
        <v>0.4</v>
      </c>
      <c r="F21" s="6">
        <v>0.4</v>
      </c>
      <c r="G21" s="6">
        <v>0.3</v>
      </c>
      <c r="H21" s="2"/>
      <c r="I21" s="195"/>
      <c r="J21" s="2"/>
      <c r="K21" s="2"/>
      <c r="L21" s="2"/>
      <c r="N21" t="s">
        <v>245</v>
      </c>
    </row>
    <row r="22" spans="1:22">
      <c r="A22" s="14" t="s">
        <v>32</v>
      </c>
      <c r="B22" s="2"/>
      <c r="C22" s="2" t="s">
        <v>195</v>
      </c>
      <c r="D22" s="2"/>
      <c r="E22" s="14">
        <v>-3941961.4281000001</v>
      </c>
      <c r="F22" s="14">
        <v>3368148.4848000002</v>
      </c>
      <c r="G22" s="14">
        <v>3702208.6586000002</v>
      </c>
      <c r="H22" s="2"/>
      <c r="I22" s="195" t="s">
        <v>195</v>
      </c>
      <c r="J22" s="2"/>
      <c r="K22" s="56">
        <v>1997</v>
      </c>
      <c r="L22" s="2">
        <v>275</v>
      </c>
      <c r="N22" t="str">
        <f>A22</f>
        <v>SLR-CP0</v>
      </c>
      <c r="O22" t="str">
        <f>C22</f>
        <v>KOGL</v>
      </c>
      <c r="P22" s="248" t="str">
        <f>I22</f>
        <v>KOGL</v>
      </c>
      <c r="Q22" s="250">
        <f>H11kog!BE11</f>
        <v>9.2532639071324105</v>
      </c>
      <c r="R22" s="250">
        <f>H11kog!BF11</f>
        <v>16.809368831422987</v>
      </c>
      <c r="S22" s="250">
        <f>H11kog!BG11</f>
        <v>9.9897136969084137</v>
      </c>
      <c r="U22" s="248">
        <f>K22</f>
        <v>1997</v>
      </c>
      <c r="V22" s="248">
        <f>L22</f>
        <v>275</v>
      </c>
    </row>
    <row r="23" spans="1:22">
      <c r="A23" s="2"/>
      <c r="B23" s="2"/>
      <c r="C23" s="2"/>
      <c r="D23" s="2"/>
      <c r="E23" s="6">
        <v>0.2</v>
      </c>
      <c r="F23" s="6">
        <v>0.3</v>
      </c>
      <c r="G23" s="6">
        <v>1.5</v>
      </c>
      <c r="H23" s="2"/>
      <c r="I23" s="195"/>
      <c r="J23" s="2"/>
      <c r="K23" s="2"/>
      <c r="L23" s="2"/>
    </row>
    <row r="25" spans="1:22" ht="15.75" thickBot="1">
      <c r="Q25" s="216" t="s">
        <v>22</v>
      </c>
      <c r="R25" s="217" t="s">
        <v>23</v>
      </c>
      <c r="S25" s="217" t="s">
        <v>24</v>
      </c>
    </row>
    <row r="26" spans="1:22" ht="15.75" thickTop="1">
      <c r="A26" s="56" t="s">
        <v>62</v>
      </c>
      <c r="B26" s="56"/>
      <c r="C26" s="56" t="s">
        <v>176</v>
      </c>
      <c r="D26" s="56"/>
      <c r="E26" s="14">
        <v>-3941937.4068</v>
      </c>
      <c r="F26" s="14">
        <v>3368150.8620000002</v>
      </c>
      <c r="G26" s="14">
        <v>3702235.2776000001</v>
      </c>
      <c r="H26" s="56"/>
      <c r="I26" s="199">
        <v>7327</v>
      </c>
      <c r="J26" s="56"/>
      <c r="K26" s="56">
        <v>1998</v>
      </c>
      <c r="L26" s="56">
        <v>275</v>
      </c>
      <c r="N26" t="str">
        <f>A26</f>
        <v>Kog11-CP0</v>
      </c>
      <c r="O26" t="str">
        <f>C26</f>
        <v>21704S004</v>
      </c>
      <c r="P26" s="248">
        <f>I26</f>
        <v>7327</v>
      </c>
      <c r="Q26" s="250">
        <f>H11kog!BA14</f>
        <v>33.272419025892859</v>
      </c>
      <c r="R26" s="250">
        <f>H11kog!BB14</f>
        <v>19.18800107112477</v>
      </c>
      <c r="S26" s="250">
        <f>H11kog!BC14</f>
        <v>36.610439582310278</v>
      </c>
      <c r="U26" s="248">
        <f>K26</f>
        <v>1998</v>
      </c>
      <c r="V26" s="248">
        <f>L26</f>
        <v>275</v>
      </c>
    </row>
    <row r="27" spans="1:22">
      <c r="A27" s="2"/>
      <c r="B27" s="2"/>
      <c r="C27" s="2"/>
      <c r="D27" s="2"/>
      <c r="E27" s="6">
        <v>0.4</v>
      </c>
      <c r="F27" s="6">
        <v>0.4</v>
      </c>
      <c r="G27" s="6">
        <v>0.3</v>
      </c>
      <c r="H27" s="2"/>
      <c r="I27" s="195"/>
      <c r="J27" s="2"/>
      <c r="K27" s="2"/>
      <c r="L27" s="2"/>
      <c r="N27" t="s">
        <v>185</v>
      </c>
    </row>
    <row r="28" spans="1:22">
      <c r="A28" s="14" t="s">
        <v>139</v>
      </c>
      <c r="B28" s="14"/>
      <c r="C28" s="2" t="s">
        <v>202</v>
      </c>
      <c r="D28" s="2"/>
      <c r="E28" s="124">
        <v>-3941941.2122</v>
      </c>
      <c r="F28" s="124">
        <v>3368169.4874999998</v>
      </c>
      <c r="G28" s="125">
        <v>3702195.6669000001</v>
      </c>
      <c r="H28" s="2"/>
      <c r="I28" s="195">
        <v>7328</v>
      </c>
      <c r="J28" s="2"/>
      <c r="K28" s="56">
        <v>1998</v>
      </c>
      <c r="L28" s="2">
        <v>275</v>
      </c>
      <c r="N28" t="str">
        <f>A28</f>
        <v>SLR-S2(RT)</v>
      </c>
      <c r="O28" t="str">
        <f>C28</f>
        <v>21704M001</v>
      </c>
      <c r="P28" s="248">
        <f>I28</f>
        <v>7328</v>
      </c>
      <c r="Q28" s="250">
        <f>H11kog!BA13</f>
        <v>29.46889327720239</v>
      </c>
      <c r="R28" s="250">
        <f>H11kog!BB13</f>
        <v>37.813272384500578</v>
      </c>
      <c r="S28" s="250">
        <f>H11kog!BC13</f>
        <v>-3.0004800757489867</v>
      </c>
      <c r="U28" s="248">
        <f>K28</f>
        <v>1998</v>
      </c>
      <c r="V28" s="248">
        <f>L28</f>
        <v>275</v>
      </c>
    </row>
    <row r="29" spans="1:22">
      <c r="A29" s="2"/>
      <c r="B29" s="2"/>
      <c r="C29" s="2"/>
      <c r="D29" s="2"/>
      <c r="E29" s="6">
        <v>0.2</v>
      </c>
      <c r="F29" s="6">
        <v>0.3</v>
      </c>
      <c r="G29" s="6">
        <v>1.5</v>
      </c>
      <c r="H29" s="2"/>
      <c r="I29" s="195"/>
      <c r="J29" s="2"/>
      <c r="K29" s="2"/>
      <c r="L29" s="2"/>
      <c r="N29" t="s">
        <v>185</v>
      </c>
    </row>
    <row r="30" spans="1:22">
      <c r="A30" s="14" t="s">
        <v>244</v>
      </c>
      <c r="B30" s="2"/>
      <c r="C30" s="2" t="s">
        <v>3</v>
      </c>
      <c r="D30" s="2"/>
      <c r="E30" s="14">
        <v>-3941949.1590999998</v>
      </c>
      <c r="F30" s="14">
        <v>3368156.3191</v>
      </c>
      <c r="G30" s="14">
        <v>3702214.8783</v>
      </c>
      <c r="H30" s="2"/>
      <c r="I30" s="195" t="s">
        <v>3</v>
      </c>
      <c r="J30" s="2"/>
      <c r="K30" s="56">
        <v>1998</v>
      </c>
      <c r="L30" s="2">
        <v>275</v>
      </c>
      <c r="N30" t="str">
        <f>A30</f>
        <v>SLR-TGPS</v>
      </c>
      <c r="O30" t="str">
        <f>C30</f>
        <v>KGNI</v>
      </c>
      <c r="P30" s="248" t="str">
        <f>I30</f>
        <v>KGNI</v>
      </c>
      <c r="Q30" s="144">
        <f>H11kog!BA18</f>
        <v>21.518498328027025</v>
      </c>
      <c r="R30" s="144">
        <f>H11kog!BB18</f>
        <v>24.645920555310759</v>
      </c>
      <c r="S30" s="144">
        <f>H11kog!BC18</f>
        <v>16.211851477410285</v>
      </c>
      <c r="U30" s="248">
        <f>K30</f>
        <v>1998</v>
      </c>
      <c r="V30" s="248">
        <f>L30</f>
        <v>275</v>
      </c>
    </row>
    <row r="31" spans="1:22">
      <c r="A31" s="2"/>
      <c r="B31" s="2"/>
      <c r="C31" s="2"/>
      <c r="D31" s="2"/>
      <c r="E31" s="6">
        <v>0.1</v>
      </c>
      <c r="F31" s="6">
        <v>0.2</v>
      </c>
      <c r="G31" s="87">
        <v>0.1</v>
      </c>
      <c r="H31" s="2"/>
      <c r="I31" s="195"/>
      <c r="J31" s="2"/>
      <c r="K31" s="2"/>
      <c r="L31" s="2"/>
      <c r="N31" t="s">
        <v>185</v>
      </c>
    </row>
    <row r="32" spans="1:22">
      <c r="A32" s="14" t="s">
        <v>32</v>
      </c>
      <c r="B32" s="2"/>
      <c r="C32" s="2" t="s">
        <v>195</v>
      </c>
      <c r="D32" s="2"/>
      <c r="E32" s="14">
        <v>-3941961.4306000001</v>
      </c>
      <c r="F32" s="14">
        <v>3368148.4844999998</v>
      </c>
      <c r="G32" s="14">
        <v>3702208.6623</v>
      </c>
      <c r="H32" s="2"/>
      <c r="I32" s="195" t="s">
        <v>195</v>
      </c>
      <c r="J32" s="2"/>
      <c r="K32" s="56">
        <v>1998</v>
      </c>
      <c r="L32" s="2">
        <v>275</v>
      </c>
      <c r="N32" t="str">
        <f>A32</f>
        <v>SLR-CP0</v>
      </c>
      <c r="O32" t="str">
        <f>C32</f>
        <v>KOGL</v>
      </c>
      <c r="P32" s="248" t="str">
        <f>I32</f>
        <v>KOGL</v>
      </c>
      <c r="Q32" s="250">
        <f>H11kog!BA11</f>
        <v>9.2507595053607758</v>
      </c>
      <c r="R32" s="250">
        <f>H11kog!BB11</f>
        <v>16.80914072217157</v>
      </c>
      <c r="S32" s="250">
        <f>H11kog!BC11</f>
        <v>9.9934387389308803</v>
      </c>
      <c r="U32" s="248">
        <f>K32</f>
        <v>1998</v>
      </c>
      <c r="V32" s="248">
        <f>L32</f>
        <v>275</v>
      </c>
    </row>
    <row r="33" spans="1:22">
      <c r="A33" s="2"/>
      <c r="B33" s="2"/>
      <c r="C33" s="2"/>
      <c r="D33" s="2"/>
      <c r="E33" s="6">
        <v>0.2</v>
      </c>
      <c r="F33" s="6">
        <v>0.3</v>
      </c>
      <c r="G33" s="6">
        <v>1.5</v>
      </c>
      <c r="H33" s="2"/>
      <c r="I33" s="195"/>
      <c r="J33" s="2"/>
      <c r="K33" s="2"/>
      <c r="L33" s="2"/>
      <c r="N33" t="s">
        <v>185</v>
      </c>
    </row>
    <row r="36" spans="1:22">
      <c r="A36" s="56" t="s">
        <v>62</v>
      </c>
      <c r="B36" s="56"/>
      <c r="C36" s="56" t="s">
        <v>176</v>
      </c>
      <c r="D36" s="56"/>
      <c r="E36" s="124">
        <v>-3941937.4078000002</v>
      </c>
      <c r="F36" s="124">
        <v>3368150.8618000001</v>
      </c>
      <c r="G36" s="125">
        <v>3702235.2741</v>
      </c>
      <c r="H36" s="56"/>
      <c r="I36" s="199">
        <v>7327</v>
      </c>
      <c r="J36" s="56"/>
      <c r="K36" s="56">
        <v>1999</v>
      </c>
      <c r="L36" s="56">
        <v>305</v>
      </c>
      <c r="N36" t="str">
        <f>A36</f>
        <v>Kog11-CP0</v>
      </c>
      <c r="O36" t="str">
        <f>C36</f>
        <v>21704S004</v>
      </c>
      <c r="P36" s="248">
        <f>I36</f>
        <v>7327</v>
      </c>
      <c r="Q36" s="250">
        <f>H11kog!AW14</f>
        <v>33.271405567835352</v>
      </c>
      <c r="R36" s="250">
        <f>H11kog!AX14</f>
        <v>19.187814922515109</v>
      </c>
      <c r="S36" s="250">
        <f>H11kog!AY14</f>
        <v>36.606965643401281</v>
      </c>
      <c r="U36" s="248">
        <f>K36</f>
        <v>1999</v>
      </c>
      <c r="V36" s="248">
        <f>L36</f>
        <v>305</v>
      </c>
    </row>
    <row r="37" spans="1:22">
      <c r="A37" s="2"/>
      <c r="B37" s="2"/>
      <c r="C37" s="2"/>
      <c r="D37" s="2"/>
      <c r="E37" s="6">
        <v>0.4</v>
      </c>
      <c r="F37" s="6">
        <v>0.4</v>
      </c>
      <c r="G37" s="6">
        <v>0.3</v>
      </c>
      <c r="H37" s="2"/>
      <c r="I37" s="195"/>
      <c r="J37" s="2"/>
      <c r="K37" s="2"/>
      <c r="L37" s="2"/>
    </row>
    <row r="38" spans="1:22">
      <c r="A38" s="14" t="s">
        <v>139</v>
      </c>
      <c r="B38" s="14"/>
      <c r="C38" s="2" t="s">
        <v>202</v>
      </c>
      <c r="D38" s="2"/>
      <c r="E38" s="124">
        <v>-3941941.2154999999</v>
      </c>
      <c r="F38" s="124">
        <v>3368169.4879999999</v>
      </c>
      <c r="G38" s="125">
        <v>3702195.6634</v>
      </c>
      <c r="H38" s="2"/>
      <c r="I38" s="195">
        <v>7328</v>
      </c>
      <c r="J38" s="2"/>
      <c r="K38" s="56">
        <v>1999</v>
      </c>
      <c r="L38" s="56">
        <v>305</v>
      </c>
      <c r="N38" t="str">
        <f>A38</f>
        <v>SLR-S2(RT)</v>
      </c>
      <c r="O38" t="str">
        <f>C38</f>
        <v>21704M001</v>
      </c>
      <c r="P38" s="248">
        <f>I38</f>
        <v>7328</v>
      </c>
      <c r="Q38" s="250">
        <f>H11kog!AW13</f>
        <v>29.465559464886109</v>
      </c>
      <c r="R38" s="250">
        <f>H11kog!AX13</f>
        <v>37.813753337676914</v>
      </c>
      <c r="S38" s="250">
        <f>H11kog!AY13</f>
        <v>-3.0040986914576888</v>
      </c>
      <c r="U38" s="248">
        <f>K38</f>
        <v>1999</v>
      </c>
      <c r="V38" s="248">
        <f>L38</f>
        <v>305</v>
      </c>
    </row>
    <row r="39" spans="1:22">
      <c r="A39" s="2"/>
      <c r="B39" s="2"/>
      <c r="C39" s="2"/>
      <c r="D39" s="2"/>
      <c r="E39" s="6">
        <v>0.2</v>
      </c>
      <c r="F39" s="6">
        <v>0.3</v>
      </c>
      <c r="G39" s="6">
        <v>1.5</v>
      </c>
      <c r="H39" s="2"/>
      <c r="I39" s="195"/>
      <c r="J39" s="2"/>
      <c r="K39" s="2"/>
      <c r="L39" s="2"/>
    </row>
    <row r="40" spans="1:22">
      <c r="A40" s="14" t="s">
        <v>244</v>
      </c>
      <c r="B40" s="2"/>
      <c r="C40" s="2" t="s">
        <v>3</v>
      </c>
      <c r="D40" s="2"/>
      <c r="E40" s="124">
        <v>-3941949.1598999999</v>
      </c>
      <c r="F40" s="124">
        <v>3368156.3202</v>
      </c>
      <c r="G40" s="125">
        <v>3702214.8753999998</v>
      </c>
      <c r="H40" s="2"/>
      <c r="I40" s="195" t="s">
        <v>3</v>
      </c>
      <c r="J40" s="2"/>
      <c r="K40" s="56">
        <v>1999</v>
      </c>
      <c r="L40" s="56">
        <v>305</v>
      </c>
      <c r="N40" t="str">
        <f>A40</f>
        <v>SLR-TGPS</v>
      </c>
      <c r="O40" t="str">
        <f>C40</f>
        <v>KGNI</v>
      </c>
      <c r="P40" s="248" t="str">
        <f>I40</f>
        <v>KGNI</v>
      </c>
      <c r="Q40" s="250">
        <f>H11kog!AW18</f>
        <v>21.520569924375422</v>
      </c>
      <c r="R40" s="250">
        <f>H11kog!AX18</f>
        <v>24.645466269619352</v>
      </c>
      <c r="S40" s="250">
        <f>H11kog!AY18</f>
        <v>16.207428569627645</v>
      </c>
      <c r="U40" s="248">
        <f>K40</f>
        <v>1999</v>
      </c>
      <c r="V40" s="248">
        <f>L40</f>
        <v>305</v>
      </c>
    </row>
    <row r="41" spans="1:22">
      <c r="A41" s="2"/>
      <c r="B41" s="2"/>
      <c r="C41" s="2"/>
      <c r="D41" s="2"/>
      <c r="E41" s="6">
        <v>0.1</v>
      </c>
      <c r="F41" s="6">
        <v>0.2</v>
      </c>
      <c r="G41" s="87">
        <v>0.1</v>
      </c>
      <c r="H41" s="2"/>
      <c r="I41" s="195"/>
      <c r="J41" s="2"/>
      <c r="K41" s="2"/>
      <c r="L41" s="2"/>
    </row>
    <row r="42" spans="1:22">
      <c r="A42" s="14" t="s">
        <v>32</v>
      </c>
      <c r="B42" s="2"/>
      <c r="C42" s="2" t="s">
        <v>195</v>
      </c>
      <c r="D42" s="2"/>
      <c r="E42" s="124">
        <v>-3941961.4292000001</v>
      </c>
      <c r="F42" s="124">
        <v>3368148.4852999998</v>
      </c>
      <c r="G42" s="125">
        <v>3702208.6598999999</v>
      </c>
      <c r="H42" s="2"/>
      <c r="I42" s="195" t="s">
        <v>195</v>
      </c>
      <c r="J42" s="2"/>
      <c r="K42" s="56">
        <v>1999</v>
      </c>
      <c r="L42" s="56">
        <v>305</v>
      </c>
      <c r="N42" t="str">
        <f>A42</f>
        <v>SLR-CP0</v>
      </c>
      <c r="O42" t="str">
        <f>C42</f>
        <v>KOGL</v>
      </c>
      <c r="P42" s="248" t="str">
        <f>I42</f>
        <v>KOGL</v>
      </c>
      <c r="Q42" s="250">
        <f>H11kog!AW11</f>
        <v>9.2521969455013728</v>
      </c>
      <c r="R42" s="250">
        <f>H11kog!AX11</f>
        <v>16.809885705189082</v>
      </c>
      <c r="S42" s="250">
        <f>H11kog!AY11</f>
        <v>9.9910306761858525</v>
      </c>
      <c r="U42" s="248">
        <f>K42</f>
        <v>1999</v>
      </c>
      <c r="V42" s="248">
        <f>L42</f>
        <v>305</v>
      </c>
    </row>
    <row r="43" spans="1:22">
      <c r="A43" s="2"/>
      <c r="B43" s="2"/>
      <c r="C43" s="2"/>
      <c r="D43" s="2"/>
      <c r="E43" s="6">
        <v>0.2</v>
      </c>
      <c r="F43" s="6">
        <v>0.3</v>
      </c>
      <c r="G43" s="6">
        <v>1.5</v>
      </c>
      <c r="H43" s="2"/>
      <c r="I43" s="195"/>
      <c r="J43" s="2"/>
      <c r="K43" s="2"/>
      <c r="L43" s="2"/>
    </row>
    <row r="46" spans="1:22">
      <c r="A46" s="56" t="s">
        <v>62</v>
      </c>
      <c r="B46" s="56"/>
      <c r="C46" s="56" t="s">
        <v>176</v>
      </c>
      <c r="D46" s="56"/>
      <c r="E46" s="124">
        <v>-3941937.6242999998</v>
      </c>
      <c r="F46" s="124">
        <v>3368150.6740999999</v>
      </c>
      <c r="G46" s="125">
        <v>3702235.3108999999</v>
      </c>
      <c r="H46" s="56"/>
      <c r="I46" s="199">
        <v>7327</v>
      </c>
      <c r="J46" s="56"/>
      <c r="K46" s="56">
        <v>2013</v>
      </c>
      <c r="L46" s="56">
        <v>252</v>
      </c>
      <c r="N46" t="str">
        <f>A46</f>
        <v>Kog11-CP0</v>
      </c>
      <c r="O46" t="str">
        <f>C46</f>
        <v>21704S004</v>
      </c>
      <c r="P46" s="248">
        <f>I46</f>
        <v>7327</v>
      </c>
      <c r="Q46" s="250">
        <f>H11kog!AT14</f>
        <v>33.269525613696715</v>
      </c>
      <c r="R46" s="250">
        <f>H11kog!AU14</f>
        <v>19.187973950467889</v>
      </c>
      <c r="S46" s="250">
        <f>H11kog!AV14</f>
        <v>36.611515421715154</v>
      </c>
      <c r="U46" s="248">
        <f>K46</f>
        <v>2013</v>
      </c>
      <c r="V46" s="248">
        <f>L46</f>
        <v>252</v>
      </c>
    </row>
    <row r="47" spans="1:22">
      <c r="A47" s="2"/>
      <c r="B47" s="2"/>
      <c r="C47" s="2"/>
      <c r="D47" s="2"/>
      <c r="E47" s="6">
        <v>0.4</v>
      </c>
      <c r="F47" s="6">
        <v>0.4</v>
      </c>
      <c r="G47" s="6">
        <v>0.3</v>
      </c>
      <c r="H47" s="2"/>
      <c r="I47" s="195"/>
      <c r="J47" s="2"/>
      <c r="K47" s="2"/>
      <c r="L47" s="2"/>
      <c r="N47" t="s">
        <v>185</v>
      </c>
    </row>
    <row r="48" spans="1:22">
      <c r="A48" s="14" t="s">
        <v>139</v>
      </c>
      <c r="B48" s="14"/>
      <c r="C48" s="2" t="s">
        <v>202</v>
      </c>
      <c r="D48" s="2"/>
      <c r="E48" s="124">
        <v>-3941941.4314999999</v>
      </c>
      <c r="F48" s="124">
        <v>3368169.3037999999</v>
      </c>
      <c r="G48" s="125">
        <v>3702195.6962000001</v>
      </c>
      <c r="H48" s="2"/>
      <c r="I48" s="195">
        <v>7328</v>
      </c>
      <c r="J48" s="2"/>
      <c r="K48" s="56">
        <v>2013</v>
      </c>
      <c r="L48" s="56">
        <v>252</v>
      </c>
      <c r="N48" t="str">
        <f>A48</f>
        <v>SLR-S2(RT)</v>
      </c>
      <c r="O48" t="str">
        <f>C48</f>
        <v>21704M001</v>
      </c>
      <c r="P48" s="248">
        <f>I48</f>
        <v>7328</v>
      </c>
      <c r="Q48" s="250">
        <f>H11kog!AT13</f>
        <v>29.465155753767405</v>
      </c>
      <c r="R48" s="250">
        <f>H11kog!AU13</f>
        <v>37.816728746411336</v>
      </c>
      <c r="S48" s="250">
        <f>H11kog!AV13</f>
        <v>-3.0043360945577207</v>
      </c>
      <c r="U48" s="248">
        <f>K48</f>
        <v>2013</v>
      </c>
      <c r="V48" s="248">
        <f>L48</f>
        <v>252</v>
      </c>
    </row>
    <row r="49" spans="1:31">
      <c r="A49" s="2"/>
      <c r="B49" s="2"/>
      <c r="C49" s="2"/>
      <c r="D49" s="2"/>
      <c r="E49" s="6">
        <v>0.2</v>
      </c>
      <c r="F49" s="6">
        <v>0.3</v>
      </c>
      <c r="G49" s="6">
        <v>1.5</v>
      </c>
      <c r="H49" s="2"/>
      <c r="I49" s="195"/>
      <c r="J49" s="2"/>
      <c r="K49" s="2"/>
      <c r="L49" s="2"/>
      <c r="N49" t="s">
        <v>185</v>
      </c>
    </row>
    <row r="50" spans="1:31" ht="15.75" thickBot="1">
      <c r="A50" s="222" t="s">
        <v>119</v>
      </c>
      <c r="B50" s="2"/>
      <c r="C50" s="2" t="s">
        <v>204</v>
      </c>
      <c r="D50" s="2"/>
      <c r="E50" s="124">
        <v>-3942020.3258000002</v>
      </c>
      <c r="F50" s="124">
        <v>3368097.3572</v>
      </c>
      <c r="G50" s="125">
        <v>3702191.0547000002</v>
      </c>
      <c r="H50" s="2"/>
      <c r="I50" s="195">
        <v>7308</v>
      </c>
      <c r="J50" s="2"/>
      <c r="K50" s="56">
        <v>2013</v>
      </c>
      <c r="L50" s="56">
        <v>252</v>
      </c>
      <c r="N50" t="str">
        <f>A50</f>
        <v>SLR1.5m</v>
      </c>
      <c r="O50" t="str">
        <f>C50</f>
        <v xml:space="preserve"> 21704S002</v>
      </c>
      <c r="P50" s="248">
        <f>I50</f>
        <v>7308</v>
      </c>
      <c r="Q50" s="250">
        <f>H11kog!AT16</f>
        <v>-49.425414367236641</v>
      </c>
      <c r="R50" s="250">
        <f>H11kog!AU16</f>
        <v>-34.13374077020076</v>
      </c>
      <c r="S50" s="250">
        <f>H11kog!AV16</f>
        <v>-7.6509141794041513</v>
      </c>
      <c r="U50" s="248">
        <f>K50</f>
        <v>2013</v>
      </c>
      <c r="V50" s="248">
        <f>L50</f>
        <v>252</v>
      </c>
    </row>
    <row r="51" spans="1:31">
      <c r="A51" s="2"/>
      <c r="B51" s="2"/>
      <c r="C51" s="2"/>
      <c r="D51" s="2"/>
      <c r="E51" s="6">
        <v>0.4</v>
      </c>
      <c r="F51" s="6">
        <v>0.4</v>
      </c>
      <c r="G51" s="6">
        <v>0.3</v>
      </c>
      <c r="H51" s="2"/>
      <c r="I51" s="195"/>
      <c r="J51" s="2"/>
      <c r="K51" s="2"/>
      <c r="L51" s="2"/>
      <c r="N51" t="s">
        <v>245</v>
      </c>
    </row>
    <row r="52" spans="1:31">
      <c r="A52" s="14" t="s">
        <v>244</v>
      </c>
      <c r="B52" s="2"/>
      <c r="C52" s="2" t="s">
        <v>3</v>
      </c>
      <c r="D52" s="2"/>
      <c r="E52" s="124">
        <v>-3941949.3347999998</v>
      </c>
      <c r="F52" s="124">
        <v>3368156.0975000001</v>
      </c>
      <c r="G52" s="125">
        <v>3702214.8714999999</v>
      </c>
      <c r="H52" s="2"/>
      <c r="I52" s="195" t="s">
        <v>3</v>
      </c>
      <c r="J52" s="2"/>
      <c r="K52" s="56">
        <v>2013</v>
      </c>
      <c r="L52" s="56">
        <v>252</v>
      </c>
      <c r="N52" t="str">
        <f>A52</f>
        <v>SLR-TGPS</v>
      </c>
      <c r="O52" t="str">
        <f>C52</f>
        <v>KGNI</v>
      </c>
      <c r="P52" s="248" t="str">
        <f>I52</f>
        <v>KGNI</v>
      </c>
      <c r="Q52" s="250">
        <f>H11kog!AT18</f>
        <v>21.874984739341343</v>
      </c>
      <c r="R52" s="250">
        <f>H11kog!AU18</f>
        <v>24.341781455515054</v>
      </c>
      <c r="S52" s="250">
        <f>H11kog!AV18</f>
        <v>15.873811864466383</v>
      </c>
      <c r="U52" s="248">
        <f>K52</f>
        <v>2013</v>
      </c>
      <c r="V52" s="248">
        <f>L52</f>
        <v>252</v>
      </c>
    </row>
    <row r="53" spans="1:31">
      <c r="A53" s="2"/>
      <c r="B53" s="2"/>
      <c r="C53" s="2"/>
      <c r="D53" s="2"/>
      <c r="E53" s="6">
        <v>0.1</v>
      </c>
      <c r="F53" s="6">
        <v>0.2</v>
      </c>
      <c r="G53" s="87">
        <v>0.1</v>
      </c>
      <c r="H53" s="2"/>
      <c r="I53" s="195"/>
      <c r="J53" s="2"/>
      <c r="K53" s="2"/>
      <c r="L53" s="2"/>
      <c r="N53" t="s">
        <v>185</v>
      </c>
    </row>
    <row r="54" spans="1:31">
      <c r="A54" s="14" t="s">
        <v>32</v>
      </c>
      <c r="B54" s="2"/>
      <c r="C54" s="2" t="s">
        <v>195</v>
      </c>
      <c r="D54" s="2"/>
      <c r="E54" s="124">
        <v>-3941961.6436000001</v>
      </c>
      <c r="F54" s="124">
        <v>3368148.2971000001</v>
      </c>
      <c r="G54" s="125">
        <v>3702208.6918000001</v>
      </c>
      <c r="H54" s="2"/>
      <c r="I54" s="195" t="s">
        <v>195</v>
      </c>
      <c r="J54" s="2"/>
      <c r="K54" s="56">
        <v>2013</v>
      </c>
      <c r="L54" s="56">
        <v>252</v>
      </c>
      <c r="N54" t="str">
        <f>A54</f>
        <v>SLR-CP0</v>
      </c>
      <c r="O54" t="str">
        <f>C54</f>
        <v>KOGL</v>
      </c>
      <c r="P54" s="248" t="str">
        <f>I54</f>
        <v>KOGL</v>
      </c>
      <c r="Q54" s="250">
        <f>H11kog!AT11</f>
        <v>9.2523313632554931</v>
      </c>
      <c r="R54" s="250">
        <f>H11kog!AU11</f>
        <v>16.80950784352931</v>
      </c>
      <c r="S54" s="250">
        <f>H11kog!AV11</f>
        <v>9.990657644770959</v>
      </c>
      <c r="U54" s="248">
        <f>K54</f>
        <v>2013</v>
      </c>
      <c r="V54" s="248">
        <f>L54</f>
        <v>252</v>
      </c>
    </row>
    <row r="55" spans="1:31">
      <c r="A55" s="2"/>
      <c r="B55" s="2"/>
      <c r="C55" s="2"/>
      <c r="D55" s="2"/>
      <c r="E55" s="6">
        <v>0.2</v>
      </c>
      <c r="F55" s="6">
        <v>0.3</v>
      </c>
      <c r="G55" s="6">
        <v>1.5</v>
      </c>
      <c r="H55" s="2"/>
      <c r="I55" s="195"/>
      <c r="J55" s="2"/>
      <c r="K55" s="2"/>
      <c r="L55" s="2"/>
      <c r="N55" t="s">
        <v>185</v>
      </c>
    </row>
    <row r="57" spans="1:31">
      <c r="C57" t="s">
        <v>191</v>
      </c>
      <c r="E57" s="1"/>
      <c r="F57" s="151" t="s">
        <v>22</v>
      </c>
      <c r="G57" s="151" t="s">
        <v>23</v>
      </c>
      <c r="H57" s="151" t="s">
        <v>24</v>
      </c>
      <c r="I57" s="200"/>
      <c r="J57" s="9"/>
      <c r="K57" s="152" t="s">
        <v>5</v>
      </c>
      <c r="L57" s="151" t="s">
        <v>4</v>
      </c>
      <c r="M57" s="151" t="s">
        <v>6</v>
      </c>
    </row>
    <row r="58" spans="1:31">
      <c r="E58" s="1"/>
      <c r="F58" s="169">
        <v>-20213.213509233108</v>
      </c>
      <c r="G58" s="169">
        <v>-21004.062834644821</v>
      </c>
      <c r="H58" s="169">
        <v>12995.08667645001</v>
      </c>
      <c r="I58" s="200"/>
      <c r="J58" s="9"/>
      <c r="K58" s="210">
        <v>29099.4</v>
      </c>
      <c r="L58" s="169">
        <v>9545.9</v>
      </c>
      <c r="M58" s="169">
        <v>8984.2999999999993</v>
      </c>
    </row>
    <row r="59" spans="1:31">
      <c r="A59" s="7"/>
      <c r="B59" s="7"/>
      <c r="C59" s="7"/>
      <c r="D59" s="7"/>
      <c r="E59" s="7"/>
      <c r="F59" s="8">
        <v>2</v>
      </c>
      <c r="G59" s="8">
        <v>2</v>
      </c>
      <c r="H59" s="8">
        <v>2</v>
      </c>
      <c r="I59" s="193"/>
      <c r="J59" s="7"/>
      <c r="K59" s="8">
        <v>2</v>
      </c>
      <c r="L59" s="8">
        <v>2</v>
      </c>
      <c r="M59" s="8">
        <v>2</v>
      </c>
      <c r="N59" s="7"/>
      <c r="O59" s="7"/>
      <c r="P59" s="7"/>
      <c r="Q59" s="7"/>
      <c r="R59" s="7"/>
      <c r="S59" s="7"/>
    </row>
    <row r="60" spans="1:31" ht="15.75" thickBot="1">
      <c r="A60" s="36"/>
      <c r="B60" s="36"/>
      <c r="C60" s="36"/>
      <c r="D60" s="36"/>
      <c r="E60" s="36"/>
      <c r="F60" s="36"/>
      <c r="G60" s="36"/>
      <c r="H60" s="36"/>
      <c r="I60" s="293"/>
      <c r="J60" s="36"/>
      <c r="K60" s="36"/>
      <c r="L60" s="36"/>
      <c r="M60" s="36"/>
      <c r="N60" s="36"/>
      <c r="O60" s="36"/>
      <c r="P60" s="36"/>
      <c r="Q60" s="36"/>
      <c r="R60" s="36"/>
      <c r="S60" s="36"/>
    </row>
    <row r="61" spans="1:31" ht="15.75" thickTop="1"/>
    <row r="62" spans="1:31">
      <c r="A62" t="s">
        <v>284</v>
      </c>
      <c r="C62" t="s">
        <v>192</v>
      </c>
      <c r="E62" s="6" t="s">
        <v>241</v>
      </c>
      <c r="F62" s="6">
        <v>3.950000274926424</v>
      </c>
      <c r="G62" s="6">
        <v>6.5</v>
      </c>
      <c r="H62" s="6">
        <v>5.4</v>
      </c>
      <c r="I62" s="200"/>
      <c r="J62" s="9"/>
      <c r="K62" s="200"/>
      <c r="L62" s="200"/>
      <c r="P62" t="s">
        <v>213</v>
      </c>
      <c r="U62" t="s">
        <v>238</v>
      </c>
      <c r="V62" t="s">
        <v>239</v>
      </c>
      <c r="Y62" t="s">
        <v>238</v>
      </c>
      <c r="Z62" t="s">
        <v>247</v>
      </c>
    </row>
    <row r="63" spans="1:31" ht="15.75" thickBot="1">
      <c r="A63" s="36"/>
      <c r="B63" s="36" t="s">
        <v>193</v>
      </c>
      <c r="C63" s="36" t="s">
        <v>236</v>
      </c>
      <c r="D63" s="36"/>
      <c r="E63" s="206" t="s">
        <v>22</v>
      </c>
      <c r="F63" s="206" t="s">
        <v>23</v>
      </c>
      <c r="G63" s="206" t="s">
        <v>24</v>
      </c>
      <c r="H63" s="36"/>
      <c r="I63" s="278" t="s">
        <v>207</v>
      </c>
      <c r="J63" s="279"/>
      <c r="K63" s="278" t="s">
        <v>207</v>
      </c>
      <c r="L63" s="278" t="s">
        <v>128</v>
      </c>
      <c r="Q63" s="276" t="s">
        <v>22</v>
      </c>
      <c r="R63" s="277" t="s">
        <v>23</v>
      </c>
      <c r="S63" s="277" t="s">
        <v>24</v>
      </c>
      <c r="U63" s="216" t="s">
        <v>22</v>
      </c>
      <c r="V63" s="217" t="s">
        <v>23</v>
      </c>
      <c r="W63" s="217" t="s">
        <v>24</v>
      </c>
      <c r="Y63" s="216" t="s">
        <v>22</v>
      </c>
      <c r="Z63" s="217" t="s">
        <v>23</v>
      </c>
      <c r="AA63" s="217" t="s">
        <v>24</v>
      </c>
      <c r="AC63" t="s">
        <v>126</v>
      </c>
    </row>
    <row r="64" spans="1:31" ht="15.75" thickTop="1">
      <c r="A64" s="284" t="str">
        <f>C16</f>
        <v>21704S004</v>
      </c>
      <c r="B64" s="284"/>
      <c r="C64" s="284" t="str">
        <f>C18</f>
        <v>21704M001</v>
      </c>
      <c r="E64" s="3">
        <f>Q64/1000</f>
        <v>3.8008079647550908</v>
      </c>
      <c r="F64" s="3">
        <f>R64/1000</f>
        <v>-18.628210289032523</v>
      </c>
      <c r="G64" s="3">
        <f>S64/1000</f>
        <v>39.608815834689061</v>
      </c>
      <c r="I64" s="280">
        <f>I16</f>
        <v>7327</v>
      </c>
      <c r="J64" s="281"/>
      <c r="K64" s="280">
        <f>I18</f>
        <v>7328</v>
      </c>
      <c r="L64" s="280" t="s">
        <v>194</v>
      </c>
      <c r="Q64" s="275">
        <f>(Q8-Q10)*1000</f>
        <v>3800.8079647550908</v>
      </c>
      <c r="R64" s="275">
        <f>(R8-R10)*1000</f>
        <v>-18628.210289032522</v>
      </c>
      <c r="S64" s="275">
        <f>(S8-S10)*1000</f>
        <v>39608.815834689063</v>
      </c>
      <c r="U64" s="1">
        <f>E64-Q64</f>
        <v>-3797.0071567903356</v>
      </c>
      <c r="V64" s="1">
        <f>F64-R64</f>
        <v>18609.58207874349</v>
      </c>
      <c r="W64" s="1">
        <f>G64-S64</f>
        <v>-39569.207018854373</v>
      </c>
      <c r="Y64" s="1">
        <f>E64-E94</f>
        <v>-3.5618951742186766E-3</v>
      </c>
      <c r="Z64" s="1">
        <f>F64-F94</f>
        <v>5.4450691092355896E-4</v>
      </c>
      <c r="AA64" s="1">
        <f>G64-G94</f>
        <v>-7.0356815838152897E-3</v>
      </c>
      <c r="AC64" s="1">
        <f>_xlfn.STDEV.P(Y64:Y66)</f>
        <v>3.9423593679437374E-3</v>
      </c>
      <c r="AD64" s="1">
        <f>_xlfn.STDEV.P(Z64:Z66)</f>
        <v>2.5129619616848231E-3</v>
      </c>
      <c r="AE64" s="1">
        <f>_xlfn.STDEV.P(AA64:AA66)</f>
        <v>2.896605789661777E-3</v>
      </c>
    </row>
    <row r="65" spans="1:31">
      <c r="A65" s="285"/>
      <c r="B65" s="285"/>
      <c r="C65" s="285"/>
      <c r="D65" s="53"/>
      <c r="E65" s="181">
        <f>SQRT(E9^2+E11^2+F62^2)/1000</f>
        <v>3.9752361152413105E-3</v>
      </c>
      <c r="F65" s="181">
        <f>SQRT(F9^2+F11^2+G62^2)/1000</f>
        <v>6.5192024052026492E-3</v>
      </c>
      <c r="G65" s="181">
        <f>SQRT(G9^2+G11^2+H62^2)/1000</f>
        <v>5.6124860801609125E-3</v>
      </c>
      <c r="H65" s="53"/>
      <c r="I65" s="282"/>
      <c r="J65" s="283"/>
      <c r="K65" s="282"/>
      <c r="L65" s="282"/>
      <c r="Q65" s="274">
        <f>E65</f>
        <v>3.9752361152413105E-3</v>
      </c>
      <c r="R65" s="274">
        <f>F65</f>
        <v>6.5192024052026492E-3</v>
      </c>
      <c r="S65" s="274">
        <f>G65</f>
        <v>5.6124860801609125E-3</v>
      </c>
    </row>
    <row r="66" spans="1:31">
      <c r="A66" s="284" t="str">
        <f>C12</f>
        <v>KOGL</v>
      </c>
      <c r="B66" s="284"/>
      <c r="C66" s="284" t="str">
        <f>C18</f>
        <v>21704M001</v>
      </c>
      <c r="E66" s="3">
        <f>Q66/1000</f>
        <v>-20.208501566950243</v>
      </c>
      <c r="F66" s="3">
        <f>R66/1000</f>
        <v>-21.011702319894471</v>
      </c>
      <c r="G66" s="3">
        <f>S66/1000</f>
        <v>12.98216484616554</v>
      </c>
      <c r="I66" s="280">
        <f>I20</f>
        <v>7308</v>
      </c>
      <c r="J66" s="281"/>
      <c r="K66" s="280">
        <f>I18</f>
        <v>7328</v>
      </c>
      <c r="L66" s="280" t="s">
        <v>194</v>
      </c>
      <c r="N66" t="s">
        <v>196</v>
      </c>
      <c r="Q66" s="275">
        <f>(Q12-Q10)*1000</f>
        <v>-20208.501566950243</v>
      </c>
      <c r="R66" s="275">
        <f>(R12-R10)*1000</f>
        <v>-21011.70231989447</v>
      </c>
      <c r="S66" s="275">
        <f>(S12-S10)*1000</f>
        <v>12982.16484616554</v>
      </c>
      <c r="U66" s="1">
        <f>E66-Q66</f>
        <v>20188.293065383292</v>
      </c>
      <c r="V66" s="1">
        <f>F66-R66</f>
        <v>20990.690617574575</v>
      </c>
      <c r="W66" s="1">
        <f>G66-S66</f>
        <v>-12969.182681319375</v>
      </c>
      <c r="Y66" s="1">
        <f>E66-E100</f>
        <v>4.3228235616687982E-3</v>
      </c>
      <c r="Z66" s="1">
        <f>F66-F100</f>
        <v>-4.4814170124460873E-3</v>
      </c>
      <c r="AA66" s="1">
        <f>G66-G100</f>
        <v>-1.2828893163138844E-2</v>
      </c>
    </row>
    <row r="67" spans="1:31">
      <c r="A67" s="285"/>
      <c r="B67" s="285"/>
      <c r="C67" s="285"/>
      <c r="D67" s="53"/>
      <c r="E67" s="181">
        <f>SQRT(E11^2+E13^2+F62^2)/1000</f>
        <v>3.9601139089575216E-3</v>
      </c>
      <c r="F67" s="181">
        <f>SQRT(F11^2+F13^2+G62^2)/1000</f>
        <v>6.5138314377945023E-3</v>
      </c>
      <c r="G67" s="181">
        <f>SQRT(G11^2+G13^2+H62^2)/1000</f>
        <v>5.8017238817441152E-3</v>
      </c>
      <c r="H67" s="53"/>
      <c r="I67" s="282"/>
      <c r="J67" s="283"/>
      <c r="K67" s="282"/>
      <c r="L67" s="282"/>
      <c r="Q67" s="274">
        <f>E67</f>
        <v>3.9601139089575216E-3</v>
      </c>
      <c r="R67" s="274">
        <f>F67</f>
        <v>6.5138314377945023E-3</v>
      </c>
      <c r="S67" s="274">
        <f>G67</f>
        <v>5.8017238817441152E-3</v>
      </c>
    </row>
    <row r="68" spans="1:31">
      <c r="E68" s="3"/>
      <c r="F68" s="3"/>
      <c r="G68" s="3"/>
    </row>
    <row r="69" spans="1:31">
      <c r="E69" s="14" t="s">
        <v>241</v>
      </c>
      <c r="F69" s="14">
        <v>1.299999887123704</v>
      </c>
      <c r="G69" s="14">
        <v>3.2</v>
      </c>
      <c r="H69" s="6">
        <v>3.7</v>
      </c>
    </row>
    <row r="70" spans="1:31">
      <c r="A70" s="284" t="str">
        <f>C16</f>
        <v>21704S004</v>
      </c>
      <c r="B70" s="284"/>
      <c r="C70" s="284" t="str">
        <f>C18</f>
        <v>21704M001</v>
      </c>
      <c r="E70" s="3">
        <f>Q70/1000</f>
        <v>3.8049743540028196</v>
      </c>
      <c r="F70" s="3">
        <f>R70/1000</f>
        <v>-18.628087005634306</v>
      </c>
      <c r="G70" s="3">
        <f>S70/1000</f>
        <v>39.608074483207254</v>
      </c>
      <c r="I70" s="280">
        <f>I16</f>
        <v>7327</v>
      </c>
      <c r="J70" s="281"/>
      <c r="K70" s="280">
        <f>I18</f>
        <v>7328</v>
      </c>
      <c r="L70" s="280" t="s">
        <v>197</v>
      </c>
      <c r="Q70" s="275">
        <f>(Q16-Q18)*1000</f>
        <v>3804.9743540028194</v>
      </c>
      <c r="R70" s="275">
        <f>(R16-R18)*1000</f>
        <v>-18628.087005634305</v>
      </c>
      <c r="S70" s="275">
        <f>(S16-S18)*1000</f>
        <v>39608.074483207252</v>
      </c>
      <c r="U70" s="1">
        <f>E70-Q70</f>
        <v>-3801.1693796488166</v>
      </c>
      <c r="V70" s="1">
        <f>F70-R70</f>
        <v>18609.458918628672</v>
      </c>
      <c r="W70" s="1">
        <f>G70-S70</f>
        <v>-39568.466408724045</v>
      </c>
      <c r="Y70" s="1">
        <f>E70-E94</f>
        <v>6.0449407351015338E-4</v>
      </c>
      <c r="Z70" s="1">
        <f>F70-F94</f>
        <v>6.6779030914076998E-4</v>
      </c>
      <c r="AA70" s="1">
        <f>G70-G94</f>
        <v>-7.7770330656221631E-3</v>
      </c>
      <c r="AC70" s="1">
        <f>_xlfn.STDEV.P(Y70,Y74)</f>
        <v>1.2942923353751468E-3</v>
      </c>
      <c r="AD70" s="1">
        <f>_xlfn.STDEV.P(Z70,Z74)</f>
        <v>8.4263088594660474E-4</v>
      </c>
      <c r="AE70" s="1">
        <f>_xlfn.STDEV.P(AA70,AA74)</f>
        <v>1.0391249086882937E-3</v>
      </c>
    </row>
    <row r="71" spans="1:31">
      <c r="A71" s="285"/>
      <c r="B71" s="285"/>
      <c r="C71" s="285"/>
      <c r="D71" s="53"/>
      <c r="E71" s="181">
        <f>SQRT(E19^2+E17^2+F$69^2)/1000</f>
        <v>1.3747726017497013E-3</v>
      </c>
      <c r="F71" s="181">
        <f>SQRT(F19^2+F17^2+G$69^2)/1000</f>
        <v>3.2388269481403299E-3</v>
      </c>
      <c r="G71" s="181">
        <f>SQRT(G19^2+G17^2+H$69^2)/1000</f>
        <v>4.0037482438335208E-3</v>
      </c>
      <c r="H71" s="53"/>
      <c r="I71" s="282"/>
      <c r="J71" s="283"/>
      <c r="K71" s="282"/>
      <c r="L71" s="282"/>
      <c r="Q71" s="274">
        <f>E71</f>
        <v>1.3747726017497013E-3</v>
      </c>
      <c r="R71" s="274">
        <f>F71</f>
        <v>3.2388269481403299E-3</v>
      </c>
      <c r="S71" s="274">
        <f>G71</f>
        <v>4.0037482438335208E-3</v>
      </c>
    </row>
    <row r="72" spans="1:31">
      <c r="A72" s="284" t="str">
        <f>C20</f>
        <v xml:space="preserve"> 21704S002</v>
      </c>
      <c r="B72" s="284"/>
      <c r="C72" s="284" t="str">
        <f>C18</f>
        <v>21704M001</v>
      </c>
      <c r="E72" s="3">
        <f>Q72/1000</f>
        <v>-78.896506041012202</v>
      </c>
      <c r="F72" s="3">
        <f>R72/1000</f>
        <v>-71.946872347815557</v>
      </c>
      <c r="G72" s="3">
        <f>S72/1000</f>
        <v>-4.6390129088433216</v>
      </c>
      <c r="I72" s="280">
        <f>I20</f>
        <v>7308</v>
      </c>
      <c r="J72" s="281"/>
      <c r="K72" s="280">
        <f>I18</f>
        <v>7328</v>
      </c>
      <c r="L72" s="280" t="s">
        <v>197</v>
      </c>
      <c r="N72" t="s">
        <v>196</v>
      </c>
      <c r="Q72" s="275">
        <f>(Q20-Q18)*1000</f>
        <v>-78896.506041012195</v>
      </c>
      <c r="R72" s="275">
        <f>(R20-R18)*1000</f>
        <v>-71946.872347815559</v>
      </c>
      <c r="S72" s="275">
        <f>(S20-S18)*1000</f>
        <v>-4639.0129088433214</v>
      </c>
      <c r="U72" s="1">
        <f>E72-Q72</f>
        <v>78817.609534971183</v>
      </c>
      <c r="V72" s="1">
        <f>F72-R72</f>
        <v>71874.925475467739</v>
      </c>
      <c r="W72" s="1">
        <f>G72-S72</f>
        <v>4634.3738959344782</v>
      </c>
      <c r="Y72" s="1">
        <f>E72-E96</f>
        <v>-5.9359200081559038E-3</v>
      </c>
      <c r="Z72" s="1">
        <f>F72-F96</f>
        <v>3.5971687965314914E-3</v>
      </c>
      <c r="AA72" s="1">
        <f>G72-G96</f>
        <v>7.5651760031085757E-3</v>
      </c>
    </row>
    <row r="73" spans="1:31">
      <c r="A73" s="285"/>
      <c r="B73" s="285"/>
      <c r="C73" s="285"/>
      <c r="D73" s="53"/>
      <c r="E73" s="181">
        <f>SQRT(E21^2+E19^2+F$69^2)/1000</f>
        <v>1.3747726017497013E-3</v>
      </c>
      <c r="F73" s="181">
        <f>SQRT(F21^2+F19^2+G$69^2)/1000</f>
        <v>3.2388269481403299E-3</v>
      </c>
      <c r="G73" s="181">
        <f>SQRT(G21^2+G19^2+H$69^2)/1000</f>
        <v>4.0037482438335208E-3</v>
      </c>
      <c r="H73" s="53"/>
      <c r="I73" s="282"/>
      <c r="J73" s="283"/>
      <c r="K73" s="282"/>
      <c r="L73" s="282"/>
      <c r="Q73" s="274">
        <f>E73</f>
        <v>1.3747726017497013E-3</v>
      </c>
      <c r="R73" s="274">
        <f>F73</f>
        <v>3.2388269481403299E-3</v>
      </c>
      <c r="S73" s="274">
        <f>G73</f>
        <v>4.0037482438335208E-3</v>
      </c>
    </row>
    <row r="74" spans="1:31">
      <c r="A74" s="284" t="str">
        <f>C22</f>
        <v>KOGL</v>
      </c>
      <c r="B74" s="284"/>
      <c r="C74" s="284" t="str">
        <f>C18</f>
        <v>21704M001</v>
      </c>
      <c r="E74" s="3">
        <f>Q74/1000</f>
        <v>-20.214808481109152</v>
      </c>
      <c r="F74" s="3">
        <f>R74/1000</f>
        <v>-21.004867850800991</v>
      </c>
      <c r="G74" s="3">
        <f>S74/1000</f>
        <v>12.989294956080434</v>
      </c>
      <c r="I74" s="280" t="str">
        <f>I22</f>
        <v>KOGL</v>
      </c>
      <c r="J74" s="281"/>
      <c r="K74" s="280">
        <f>I18</f>
        <v>7328</v>
      </c>
      <c r="L74" s="280" t="s">
        <v>197</v>
      </c>
      <c r="N74" t="s">
        <v>196</v>
      </c>
      <c r="Q74" s="275">
        <f>(Q22-Q18)*1000</f>
        <v>-20214.808481109154</v>
      </c>
      <c r="R74" s="275">
        <f>(R22-R18)*1000</f>
        <v>-21004.867850800991</v>
      </c>
      <c r="S74" s="275">
        <f>(S22-S18)*1000</f>
        <v>12989.294956080434</v>
      </c>
      <c r="U74" s="1">
        <f>E74-Q74</f>
        <v>20194.593672628045</v>
      </c>
      <c r="V74" s="1">
        <f>F74-R74</f>
        <v>20983.862982950192</v>
      </c>
      <c r="W74" s="1">
        <f>G74-S74</f>
        <v>-12976.305661124354</v>
      </c>
      <c r="Y74" s="1">
        <f>E74-E100</f>
        <v>-1.9840905972401401E-3</v>
      </c>
      <c r="Z74" s="1">
        <f>F74-F100</f>
        <v>2.3530520810339794E-3</v>
      </c>
      <c r="AA74" s="1">
        <f>G74-G100</f>
        <v>-5.6987832482455758E-3</v>
      </c>
    </row>
    <row r="75" spans="1:31">
      <c r="A75" s="285"/>
      <c r="B75" s="285"/>
      <c r="C75" s="285"/>
      <c r="D75" s="53"/>
      <c r="E75" s="181">
        <f>SQRT(E23^2+E19^2+F$69^2)/1000</f>
        <v>1.3304133592690818E-3</v>
      </c>
      <c r="F75" s="181">
        <f>SQRT(F23^2+F19^2+G$69^2)/1000</f>
        <v>3.228002478313795E-3</v>
      </c>
      <c r="G75" s="181">
        <f>SQRT(G23^2+G19^2+H$69^2)/1000</f>
        <v>4.2649736224272244E-3</v>
      </c>
      <c r="H75" s="53"/>
      <c r="I75" s="282"/>
      <c r="J75" s="283"/>
      <c r="K75" s="282"/>
      <c r="L75" s="282"/>
      <c r="Q75" s="274">
        <f>E75</f>
        <v>1.3304133592690818E-3</v>
      </c>
      <c r="R75" s="274">
        <f>F75</f>
        <v>3.228002478313795E-3</v>
      </c>
      <c r="S75" s="274">
        <f>G75</f>
        <v>4.2649736224272244E-3</v>
      </c>
    </row>
    <row r="76" spans="1:31">
      <c r="E76" s="3"/>
      <c r="F76" s="3"/>
      <c r="G76" s="3"/>
    </row>
    <row r="77" spans="1:31">
      <c r="E77" s="14" t="s">
        <v>241</v>
      </c>
      <c r="F77" s="14">
        <v>2.2499999031424527</v>
      </c>
      <c r="G77" s="14">
        <v>3</v>
      </c>
      <c r="H77" s="6">
        <v>3.8</v>
      </c>
    </row>
    <row r="78" spans="1:31">
      <c r="A78" s="284" t="str">
        <f>C26</f>
        <v>21704S004</v>
      </c>
      <c r="B78" s="284"/>
      <c r="C78" s="284" t="str">
        <f>C28</f>
        <v>21704M001</v>
      </c>
      <c r="E78" s="3">
        <f>Q78/1000</f>
        <v>3.8035257486904683</v>
      </c>
      <c r="F78" s="3">
        <f>R78/1000</f>
        <v>-18.625271313375809</v>
      </c>
      <c r="G78" s="3">
        <f>S78/1000</f>
        <v>39.610919658059267</v>
      </c>
      <c r="I78" s="280">
        <f>I26</f>
        <v>7327</v>
      </c>
      <c r="J78" s="281"/>
      <c r="K78" s="280">
        <f>I28</f>
        <v>7328</v>
      </c>
      <c r="L78" s="280" t="s">
        <v>198</v>
      </c>
      <c r="Q78" s="275">
        <f>(Q26-Q28)*1000</f>
        <v>3803.5257486904684</v>
      </c>
      <c r="R78" s="275">
        <f>(R26-R28)*1000</f>
        <v>-18625.271313375808</v>
      </c>
      <c r="S78" s="275">
        <f>(S26-S28)*1000</f>
        <v>39610.919658059269</v>
      </c>
      <c r="U78" s="1">
        <f>E78-Q78</f>
        <v>-3799.722222941778</v>
      </c>
      <c r="V78" s="1">
        <f>F78-R78</f>
        <v>18606.646042062432</v>
      </c>
      <c r="W78" s="1">
        <f>G78-S78</f>
        <v>-39571.308738401211</v>
      </c>
      <c r="Y78" s="1">
        <f>E78-E94</f>
        <v>-8.4411123884109429E-4</v>
      </c>
      <c r="Z78" s="1">
        <f>F78-F94</f>
        <v>3.4834825676384185E-3</v>
      </c>
      <c r="AA78" s="1">
        <f>G78-G94</f>
        <v>-4.9318582136095301E-3</v>
      </c>
      <c r="AC78" s="1">
        <f>_xlfn.STDEV.P(Y78,Y82)</f>
        <v>2.2326350454306976E-3</v>
      </c>
      <c r="AD78" s="1">
        <f>_xlfn.STDEV.P(Z78,Z82)</f>
        <v>1.9712100731084092E-4</v>
      </c>
      <c r="AE78" s="1">
        <f>_xlfn.STDEV.P(AA78,AA82)</f>
        <v>1.9284667823988853E-3</v>
      </c>
    </row>
    <row r="79" spans="1:31">
      <c r="A79" s="285"/>
      <c r="B79" s="285"/>
      <c r="C79" s="285"/>
      <c r="D79" s="53"/>
      <c r="E79" s="181">
        <f>SQRT(E27^2+E29^2+F$62^2)/1000</f>
        <v>3.9752361152413105E-3</v>
      </c>
      <c r="F79" s="181">
        <f>SQRT(F27^2+F29^2+G$62^2)/1000</f>
        <v>6.5192024052026492E-3</v>
      </c>
      <c r="G79" s="181">
        <f>SQRT(G27^2+G29^2+H$62^2)/1000</f>
        <v>5.6124860801609125E-3</v>
      </c>
      <c r="H79" s="53"/>
      <c r="I79" s="282"/>
      <c r="J79" s="283"/>
      <c r="K79" s="282"/>
      <c r="L79" s="282"/>
      <c r="Q79" s="274">
        <f>E79</f>
        <v>3.9752361152413105E-3</v>
      </c>
      <c r="R79" s="274">
        <f>F79</f>
        <v>6.5192024052026492E-3</v>
      </c>
      <c r="S79" s="274">
        <f>G79</f>
        <v>5.6124860801609125E-3</v>
      </c>
    </row>
    <row r="80" spans="1:31">
      <c r="A80" s="284" t="str">
        <f>C30</f>
        <v>KGNI</v>
      </c>
      <c r="B80" s="284"/>
      <c r="C80" s="284" t="str">
        <f>C28</f>
        <v>21704M001</v>
      </c>
      <c r="E80" s="3">
        <f>Q80/1000</f>
        <v>-7.9503949491753652</v>
      </c>
      <c r="F80" s="3">
        <f>R80/1000</f>
        <v>-13.167351829189819</v>
      </c>
      <c r="G80" s="3">
        <f>S80/1000</f>
        <v>19.21233155315927</v>
      </c>
      <c r="I80" s="280" t="str">
        <f>I30</f>
        <v>KGNI</v>
      </c>
      <c r="J80" s="281"/>
      <c r="K80" s="280">
        <f>I28</f>
        <v>7328</v>
      </c>
      <c r="L80" s="280" t="s">
        <v>198</v>
      </c>
      <c r="N80" t="s">
        <v>196</v>
      </c>
      <c r="Q80" s="275">
        <f>(Q30-Q28)*1000</f>
        <v>-7950.3949491753656</v>
      </c>
      <c r="R80" s="275">
        <f>(R30-R28)*1000</f>
        <v>-13167.35182918982</v>
      </c>
      <c r="S80" s="275">
        <f>(S30-S28)*1000</f>
        <v>19212.331553159271</v>
      </c>
      <c r="U80" s="1">
        <f>E80-Q80</f>
        <v>7942.4445542261901</v>
      </c>
      <c r="V80" s="1">
        <f>F80-R80</f>
        <v>13154.18447736063</v>
      </c>
      <c r="W80" s="1">
        <f>G80-S80</f>
        <v>-19193.11922160611</v>
      </c>
      <c r="Y80" s="1">
        <f>E80-E98</f>
        <v>-0.36022393474930414</v>
      </c>
      <c r="Z80" s="1">
        <f>F80-F98</f>
        <v>0.30759546170646246</v>
      </c>
      <c r="AA80" s="1">
        <f>G80-G98</f>
        <v>0.33418359413516541</v>
      </c>
    </row>
    <row r="81" spans="1:31">
      <c r="A81" s="285"/>
      <c r="B81" s="285"/>
      <c r="C81" s="285"/>
      <c r="D81" s="53"/>
      <c r="E81" s="181">
        <f>SQRT(E29^2+E31^2+F$77^2)/1000</f>
        <v>2.2610837145362497E-3</v>
      </c>
      <c r="F81" s="181">
        <f>SQRT(F29^2+F31^2+G$77^2)/1000</f>
        <v>3.0215889859476256E-3</v>
      </c>
      <c r="G81" s="181">
        <f>SQRT(G29^2+G31^2+H$77^2)/1000</f>
        <v>4.0865633483405097E-3</v>
      </c>
      <c r="H81" s="53"/>
      <c r="I81" s="282"/>
      <c r="J81" s="283"/>
      <c r="K81" s="282"/>
      <c r="L81" s="282"/>
      <c r="Q81" s="274">
        <f>E81</f>
        <v>2.2610837145362497E-3</v>
      </c>
      <c r="R81" s="274">
        <f>F81</f>
        <v>3.0215889859476256E-3</v>
      </c>
      <c r="S81" s="274">
        <f>G81</f>
        <v>4.0865633483405097E-3</v>
      </c>
    </row>
    <row r="82" spans="1:31">
      <c r="A82" s="284" t="str">
        <f>C32</f>
        <v>KOGL</v>
      </c>
      <c r="B82" s="284"/>
      <c r="C82" s="284" t="str">
        <f>C28</f>
        <v>21704M001</v>
      </c>
      <c r="E82" s="3">
        <f>Q82/1000</f>
        <v>-20.218133771841615</v>
      </c>
      <c r="F82" s="3">
        <f>R82/1000</f>
        <v>-21.004131662329009</v>
      </c>
      <c r="G82" s="3">
        <f>S82/1000</f>
        <v>12.993918814679867</v>
      </c>
      <c r="I82" s="280" t="str">
        <f>I32</f>
        <v>KOGL</v>
      </c>
      <c r="J82" s="281"/>
      <c r="K82" s="280">
        <f>I28</f>
        <v>7328</v>
      </c>
      <c r="L82" s="280" t="s">
        <v>198</v>
      </c>
      <c r="N82" t="s">
        <v>196</v>
      </c>
      <c r="Q82" s="275">
        <f>(Q32-Q28)*1000</f>
        <v>-20218.133771841614</v>
      </c>
      <c r="R82" s="275">
        <f>(R32-R28)*1000</f>
        <v>-21004.131662329008</v>
      </c>
      <c r="S82" s="275">
        <f>(S32-S28)*1000</f>
        <v>12993.918814679868</v>
      </c>
      <c r="U82" s="1">
        <f>E82-Q82</f>
        <v>20197.915638069771</v>
      </c>
      <c r="V82" s="1">
        <f>F82-R82</f>
        <v>20983.127530666679</v>
      </c>
      <c r="W82" s="1">
        <f>G82-S82</f>
        <v>-12980.924895865188</v>
      </c>
      <c r="Y82" s="1">
        <f>E82-E100</f>
        <v>-5.3093813297024894E-3</v>
      </c>
      <c r="Z82" s="1">
        <f>F82-F100</f>
        <v>3.0892405530167366E-3</v>
      </c>
      <c r="AA82" s="1">
        <f>G82-G100</f>
        <v>-1.0749246488117592E-3</v>
      </c>
    </row>
    <row r="83" spans="1:31">
      <c r="A83" s="285"/>
      <c r="B83" s="285"/>
      <c r="C83" s="285"/>
      <c r="D83" s="53"/>
      <c r="E83" s="181">
        <f>SQRT(E33^2+E29^2+F$77^2)/1000</f>
        <v>2.2677079979885081E-3</v>
      </c>
      <c r="F83" s="181">
        <f>SQRT(F33^2+F29^2+G$77^2)/1000</f>
        <v>3.0298514815086234E-3</v>
      </c>
      <c r="G83" s="181">
        <f>SQRT(G33^2+G29^2+H$77^2)/1000</f>
        <v>4.3520110293977883E-3</v>
      </c>
      <c r="H83" s="53"/>
      <c r="I83" s="282"/>
      <c r="J83" s="283"/>
      <c r="K83" s="282"/>
      <c r="L83" s="282"/>
      <c r="Q83" s="274">
        <f>E83</f>
        <v>2.2677079979885081E-3</v>
      </c>
      <c r="R83" s="274">
        <f>F83</f>
        <v>3.0298514815086234E-3</v>
      </c>
      <c r="S83" s="274">
        <f>G83</f>
        <v>4.3520110293977883E-3</v>
      </c>
    </row>
    <row r="84" spans="1:31">
      <c r="E84" s="3"/>
      <c r="F84" s="3"/>
      <c r="G84" s="3"/>
    </row>
    <row r="85" spans="1:31">
      <c r="E85" s="14" t="s">
        <v>241</v>
      </c>
      <c r="F85" s="14">
        <v>1.0499998461455107</v>
      </c>
      <c r="G85" s="14">
        <v>3</v>
      </c>
      <c r="H85" s="6">
        <v>3.8</v>
      </c>
    </row>
    <row r="86" spans="1:31">
      <c r="A86" s="284" t="str">
        <f>C36</f>
        <v>21704S004</v>
      </c>
      <c r="B86" s="284"/>
      <c r="C86" s="284" t="str">
        <f>C38</f>
        <v>21704M001</v>
      </c>
      <c r="E86" s="3">
        <f>Q86/1000</f>
        <v>3.8058461029492427</v>
      </c>
      <c r="F86" s="3">
        <f>R86/1000</f>
        <v>-18.625938415161805</v>
      </c>
      <c r="G86" s="3">
        <f>S86/1000</f>
        <v>39.611064334858973</v>
      </c>
      <c r="I86" s="280">
        <f>I36</f>
        <v>7327</v>
      </c>
      <c r="J86" s="281"/>
      <c r="K86" s="280">
        <f>I38</f>
        <v>7328</v>
      </c>
      <c r="L86" s="280" t="s">
        <v>199</v>
      </c>
      <c r="Q86" s="275">
        <f>(Q36-Q38)*1000</f>
        <v>3805.8461029492428</v>
      </c>
      <c r="R86" s="275">
        <f>(R36-R38)*1000</f>
        <v>-18625.938415161803</v>
      </c>
      <c r="S86" s="275">
        <f>(S36-S38)*1000</f>
        <v>39611.064334858973</v>
      </c>
      <c r="U86" s="1">
        <f>E86-Q86</f>
        <v>-3802.0402568462937</v>
      </c>
      <c r="V86" s="1">
        <f>F86-R86</f>
        <v>18607.31247674664</v>
      </c>
      <c r="W86" s="1">
        <f>G86-S86</f>
        <v>-39571.453270524114</v>
      </c>
      <c r="Y86" s="1">
        <f>E86-E94</f>
        <v>1.476243019933321E-3</v>
      </c>
      <c r="Z86" s="1">
        <f>F86-F94</f>
        <v>2.8163807816419251E-3</v>
      </c>
      <c r="AA86" s="1">
        <f>G86-G94</f>
        <v>-4.7871814139028857E-3</v>
      </c>
      <c r="AC86" s="1">
        <f>_xlfn.STDEV.P(Y86,Y90)</f>
        <v>1.0071859463796073E-3</v>
      </c>
      <c r="AD86" s="1">
        <f>_xlfn.STDEV.P(Z86,Z90)</f>
        <v>2.6844480627552514E-4</v>
      </c>
      <c r="AE86" s="1">
        <f>_xlfn.STDEV.P(AA86,AA90)</f>
        <v>2.4614048643822883E-3</v>
      </c>
    </row>
    <row r="87" spans="1:31">
      <c r="A87" s="285"/>
      <c r="B87" s="285"/>
      <c r="C87" s="285"/>
      <c r="D87" s="53"/>
      <c r="E87" s="181">
        <f>SQRT(E37^2+E39^2+F$85^2)/1000</f>
        <v>1.1412710795010957E-3</v>
      </c>
      <c r="F87" s="181">
        <f>SQRT(F37^2+F39^2+G$85^2)/1000</f>
        <v>3.0413812651491098E-3</v>
      </c>
      <c r="G87" s="181">
        <f>SQRT(G37^2+G39^2+H$85^2)/1000</f>
        <v>4.0963398296528083E-3</v>
      </c>
      <c r="H87" s="53"/>
      <c r="I87" s="282"/>
      <c r="J87" s="283"/>
      <c r="K87" s="282"/>
      <c r="L87" s="282"/>
      <c r="Q87" s="274">
        <f>E87</f>
        <v>1.1412710795010957E-3</v>
      </c>
      <c r="R87" s="274">
        <f>F87</f>
        <v>3.0413812651491098E-3</v>
      </c>
      <c r="S87" s="274">
        <f>G87</f>
        <v>4.0963398296528083E-3</v>
      </c>
    </row>
    <row r="88" spans="1:31">
      <c r="A88" s="284" t="str">
        <f>C40</f>
        <v>KGNI</v>
      </c>
      <c r="B88" s="284"/>
      <c r="C88" s="284" t="str">
        <f>C38</f>
        <v>21704M001</v>
      </c>
      <c r="E88" s="3">
        <f>Q88/1000</f>
        <v>-7.9449895405106865</v>
      </c>
      <c r="F88" s="3">
        <f>R88/1000</f>
        <v>-13.168287068057563</v>
      </c>
      <c r="G88" s="3">
        <f>S88/1000</f>
        <v>19.211527261085333</v>
      </c>
      <c r="I88" s="280" t="str">
        <f>I40</f>
        <v>KGNI</v>
      </c>
      <c r="J88" s="281"/>
      <c r="K88" s="280">
        <f>I38</f>
        <v>7328</v>
      </c>
      <c r="L88" s="280" t="s">
        <v>199</v>
      </c>
      <c r="N88" t="s">
        <v>196</v>
      </c>
      <c r="Q88" s="275">
        <f>(Q40-Q38)*1000</f>
        <v>-7944.9895405106863</v>
      </c>
      <c r="R88" s="275">
        <f>(R40-R38)*1000</f>
        <v>-13168.287068057563</v>
      </c>
      <c r="S88" s="275">
        <f>(S40-S38)*1000</f>
        <v>19211.527261085332</v>
      </c>
      <c r="U88" s="1">
        <f>E88-Q88</f>
        <v>7937.0445509701758</v>
      </c>
      <c r="V88" s="1">
        <f>F88-R88</f>
        <v>13155.118780989505</v>
      </c>
      <c r="W88" s="1">
        <f>G88-S88</f>
        <v>-19192.315733824245</v>
      </c>
      <c r="Y88" s="1">
        <f>E88-E98</f>
        <v>-0.3548185260846255</v>
      </c>
      <c r="Z88" s="1">
        <f>F88-F98</f>
        <v>0.30666022283871897</v>
      </c>
      <c r="AA88" s="1">
        <f>G88-G98</f>
        <v>0.33337930206122834</v>
      </c>
    </row>
    <row r="89" spans="1:31">
      <c r="A89" s="285"/>
      <c r="B89" s="285"/>
      <c r="C89" s="285"/>
      <c r="D89" s="53"/>
      <c r="E89" s="181">
        <f>SQRT(E39^2+E41^2+F$85^2)/1000</f>
        <v>1.0735453771991178E-3</v>
      </c>
      <c r="F89" s="181">
        <f>SQRT(F39^2+F41^2+G$85^2)/1000</f>
        <v>3.0215889859476256E-3</v>
      </c>
      <c r="G89" s="181">
        <f>SQRT(G39^2+G41^2+H$85^2)/1000</f>
        <v>4.0865633483405097E-3</v>
      </c>
      <c r="H89" s="53"/>
      <c r="I89" s="282"/>
      <c r="J89" s="283"/>
      <c r="K89" s="282"/>
      <c r="L89" s="282"/>
      <c r="Q89" s="274">
        <f>E89</f>
        <v>1.0735453771991178E-3</v>
      </c>
      <c r="R89" s="274">
        <f>F89</f>
        <v>3.0215889859476256E-3</v>
      </c>
      <c r="S89" s="274">
        <f>G89</f>
        <v>4.0865633483405097E-3</v>
      </c>
    </row>
    <row r="90" spans="1:31">
      <c r="A90" s="284" t="str">
        <f>C42</f>
        <v>KOGL</v>
      </c>
      <c r="B90" s="284"/>
      <c r="C90" s="284" t="str">
        <f>C38</f>
        <v>21704M001</v>
      </c>
      <c r="E90" s="3">
        <f>Q90/1000</f>
        <v>-20.213362519384738</v>
      </c>
      <c r="F90" s="3">
        <f>R90/1000</f>
        <v>-21.003867632487832</v>
      </c>
      <c r="G90" s="3">
        <f>S90/1000</f>
        <v>12.995129367643541</v>
      </c>
      <c r="I90" s="280" t="str">
        <f>I42</f>
        <v>KOGL</v>
      </c>
      <c r="J90" s="281"/>
      <c r="K90" s="280">
        <f>I38</f>
        <v>7328</v>
      </c>
      <c r="L90" s="280" t="s">
        <v>199</v>
      </c>
      <c r="N90" t="s">
        <v>196</v>
      </c>
      <c r="Q90" s="275">
        <f>(Q42-Q38)*1000</f>
        <v>-20213.362519384737</v>
      </c>
      <c r="R90" s="275">
        <f>(R42-R38)*1000</f>
        <v>-21003.867632487832</v>
      </c>
      <c r="S90" s="275">
        <f>(S42-S38)*1000</f>
        <v>12995.129367643542</v>
      </c>
      <c r="U90" s="1">
        <f>E90-Q90</f>
        <v>20193.149156865351</v>
      </c>
      <c r="V90" s="1">
        <f>F90-R90</f>
        <v>20982.863764855345</v>
      </c>
      <c r="W90" s="1">
        <f>G90-S90</f>
        <v>-12982.134238275898</v>
      </c>
      <c r="Y90" s="1">
        <f>E90-E100</f>
        <v>-5.3812887282589372E-4</v>
      </c>
      <c r="Z90" s="1">
        <f>F90-F100</f>
        <v>3.3532703941929753E-3</v>
      </c>
      <c r="AA90" s="1">
        <f>G90-G100</f>
        <v>1.3562831486169102E-4</v>
      </c>
    </row>
    <row r="91" spans="1:31">
      <c r="A91" s="285"/>
      <c r="B91" s="285"/>
      <c r="C91" s="285"/>
      <c r="D91" s="53"/>
      <c r="E91" s="181">
        <f>SQRT(E43^2+E39^2+F$85^2)/1000</f>
        <v>1.087428009987602E-3</v>
      </c>
      <c r="F91" s="181">
        <f>SQRT(F43^2+F39^2+G$85^2)/1000</f>
        <v>3.0298514815086234E-3</v>
      </c>
      <c r="G91" s="181">
        <f>SQRT(G43^2+G39^2+H$85^2)/1000</f>
        <v>4.3520110293977883E-3</v>
      </c>
      <c r="H91" s="53"/>
      <c r="I91" s="282"/>
      <c r="J91" s="283"/>
      <c r="K91" s="282"/>
      <c r="L91" s="282"/>
      <c r="Q91" s="274">
        <f>E91</f>
        <v>1.087428009987602E-3</v>
      </c>
      <c r="R91" s="274">
        <f>F91</f>
        <v>3.0298514815086234E-3</v>
      </c>
      <c r="S91" s="274">
        <f>G91</f>
        <v>4.3520110293977883E-3</v>
      </c>
    </row>
    <row r="92" spans="1:31">
      <c r="E92" s="3"/>
      <c r="F92" s="3"/>
      <c r="G92" s="3"/>
    </row>
    <row r="93" spans="1:31">
      <c r="E93" s="14" t="s">
        <v>241</v>
      </c>
      <c r="F93" s="14">
        <v>1.0499998461455107</v>
      </c>
      <c r="G93" s="14">
        <v>0.24999980814754963</v>
      </c>
      <c r="H93" s="6">
        <v>2.4499997962266207</v>
      </c>
    </row>
    <row r="94" spans="1:31">
      <c r="A94" s="284" t="str">
        <f>C46</f>
        <v>21704S004</v>
      </c>
      <c r="B94" s="284"/>
      <c r="C94" s="284" t="str">
        <f>C48</f>
        <v>21704M001</v>
      </c>
      <c r="E94" s="3">
        <f>Q94/1000</f>
        <v>3.8043698599293094</v>
      </c>
      <c r="F94" s="3">
        <f>R94/1000</f>
        <v>-18.628754795943447</v>
      </c>
      <c r="G94" s="3">
        <f>S94/1000</f>
        <v>39.615851516272876</v>
      </c>
      <c r="I94" s="280">
        <f>I46</f>
        <v>7327</v>
      </c>
      <c r="J94" s="281"/>
      <c r="K94" s="280">
        <f>I48</f>
        <v>7328</v>
      </c>
      <c r="L94" s="294" t="s">
        <v>246</v>
      </c>
      <c r="Q94" s="275">
        <f>(Q46-Q48)*1000</f>
        <v>3804.3698599293093</v>
      </c>
      <c r="R94" s="275">
        <f>(R46-R48)*1000</f>
        <v>-18628.754795943449</v>
      </c>
      <c r="S94" s="275">
        <f>(S46-S48)*1000</f>
        <v>39615.851516272873</v>
      </c>
      <c r="U94" s="1">
        <f>E94-Q94</f>
        <v>-3800.5654900693798</v>
      </c>
      <c r="V94" s="1">
        <f>F94-R94</f>
        <v>18610.126041147505</v>
      </c>
      <c r="W94" s="1">
        <f>G94-S94</f>
        <v>-39576.235664756598</v>
      </c>
      <c r="Y94" s="1"/>
      <c r="Z94" s="1"/>
      <c r="AA94" s="1"/>
      <c r="AC94" s="1"/>
      <c r="AD94" s="1"/>
      <c r="AE94" s="1"/>
    </row>
    <row r="95" spans="1:31">
      <c r="A95" s="285"/>
      <c r="B95" s="285"/>
      <c r="C95" s="285"/>
      <c r="D95" s="53"/>
      <c r="E95" s="181">
        <f>SQRT(E47^2+E49^2+F$93^2)/1000</f>
        <v>1.1412710795010957E-3</v>
      </c>
      <c r="F95" s="181">
        <f>SQRT(F47^2+F49^2+G$93^2)/1000</f>
        <v>5.5901690857594968E-4</v>
      </c>
      <c r="G95" s="181">
        <f>SQRT(G47^2+G49^2+H$93^2)/1000</f>
        <v>2.888338449958814E-3</v>
      </c>
      <c r="H95" s="53"/>
      <c r="I95" s="282"/>
      <c r="J95" s="283"/>
      <c r="K95" s="282"/>
      <c r="L95" s="282"/>
      <c r="Q95" s="274">
        <f>E95</f>
        <v>1.1412710795010957E-3</v>
      </c>
      <c r="R95" s="274">
        <f>F95</f>
        <v>5.5901690857594968E-4</v>
      </c>
      <c r="S95" s="274">
        <f>G95</f>
        <v>2.888338449958814E-3</v>
      </c>
    </row>
    <row r="96" spans="1:31">
      <c r="A96" s="284" t="str">
        <f>C50</f>
        <v xml:space="preserve"> 21704S002</v>
      </c>
      <c r="B96" s="284"/>
      <c r="C96" s="284" t="str">
        <f>C48</f>
        <v>21704M001</v>
      </c>
      <c r="E96" s="3">
        <f>Q96/1000</f>
        <v>-78.890570121004046</v>
      </c>
      <c r="F96" s="3">
        <f>R96/1000</f>
        <v>-71.950469516612088</v>
      </c>
      <c r="G96" s="3">
        <f>S96/1000</f>
        <v>-4.6465780848464302</v>
      </c>
      <c r="I96" s="280">
        <f>I50</f>
        <v>7308</v>
      </c>
      <c r="J96" s="281"/>
      <c r="K96" s="280">
        <f>I48</f>
        <v>7328</v>
      </c>
      <c r="L96" s="294" t="s">
        <v>246</v>
      </c>
      <c r="N96" t="s">
        <v>196</v>
      </c>
      <c r="Q96" s="275">
        <f>(Q50-Q48)*1000</f>
        <v>-78890.570121004042</v>
      </c>
      <c r="R96" s="275">
        <f>(R50-R48)*1000</f>
        <v>-71950.469516612095</v>
      </c>
      <c r="S96" s="275">
        <f>(S50-S48)*1000</f>
        <v>-4646.5780848464301</v>
      </c>
      <c r="U96" s="1">
        <f>E96-Q96</f>
        <v>78811.67955088304</v>
      </c>
      <c r="V96" s="1">
        <f>F96-R96</f>
        <v>71878.519047095484</v>
      </c>
      <c r="W96" s="1">
        <f>G96-S96</f>
        <v>4641.9315067615835</v>
      </c>
      <c r="Y96" s="1"/>
      <c r="Z96" s="1"/>
      <c r="AA96" s="1"/>
    </row>
    <row r="97" spans="1:27">
      <c r="A97" s="285"/>
      <c r="B97" s="285"/>
      <c r="C97" s="285"/>
      <c r="D97" s="53"/>
      <c r="E97" s="181">
        <f>SQRT(E49^2+E51^2+F$93^2)/1000</f>
        <v>1.1412710795010957E-3</v>
      </c>
      <c r="F97" s="181">
        <f>SQRT(F49^2+F51^2+G$93^2)/1000</f>
        <v>5.5901690857594968E-4</v>
      </c>
      <c r="G97" s="181">
        <f>SQRT(G49^2+G51^2+H$93^2)/1000</f>
        <v>2.888338449958814E-3</v>
      </c>
      <c r="H97" s="53"/>
      <c r="I97" s="282"/>
      <c r="J97" s="283"/>
      <c r="K97" s="282"/>
      <c r="L97" s="282"/>
      <c r="Q97" s="274">
        <f>E97</f>
        <v>1.1412710795010957E-3</v>
      </c>
      <c r="R97" s="274">
        <f>F97</f>
        <v>5.5901690857594968E-4</v>
      </c>
      <c r="S97" s="274">
        <f>G97</f>
        <v>2.888338449958814E-3</v>
      </c>
    </row>
    <row r="98" spans="1:27">
      <c r="A98" s="284" t="str">
        <f>C52</f>
        <v>KGNI</v>
      </c>
      <c r="B98" s="284"/>
      <c r="C98" s="284" t="str">
        <f>C48</f>
        <v>21704M001</v>
      </c>
      <c r="E98" s="3">
        <f>Q98/1000</f>
        <v>-7.590171014426061</v>
      </c>
      <c r="F98" s="3">
        <f>R98/1000</f>
        <v>-13.474947290896282</v>
      </c>
      <c r="G98" s="3">
        <f>S98/1000</f>
        <v>18.878147959024105</v>
      </c>
      <c r="I98" s="280" t="str">
        <f>I52</f>
        <v>KGNI</v>
      </c>
      <c r="J98" s="281"/>
      <c r="K98" s="280">
        <f>I48</f>
        <v>7328</v>
      </c>
      <c r="L98" s="294" t="s">
        <v>246</v>
      </c>
      <c r="N98" t="s">
        <v>196</v>
      </c>
      <c r="Q98" s="275">
        <f>(Q52-Q48)*1000</f>
        <v>-7590.1710144260614</v>
      </c>
      <c r="R98" s="275">
        <f>(R52-R48)*1000</f>
        <v>-13474.947290896282</v>
      </c>
      <c r="S98" s="275">
        <f>(S52-S48)*1000</f>
        <v>18878.147959024103</v>
      </c>
      <c r="U98" s="1">
        <f>E98-Q98</f>
        <v>7582.5808434116352</v>
      </c>
      <c r="V98" s="1">
        <f>F98-R98</f>
        <v>13461.472343605385</v>
      </c>
      <c r="W98" s="1">
        <f>G98-S98</f>
        <v>-18859.269811065078</v>
      </c>
      <c r="Y98" s="1"/>
      <c r="Z98" s="1"/>
      <c r="AA98" s="1"/>
    </row>
    <row r="99" spans="1:27">
      <c r="A99" s="285"/>
      <c r="B99" s="285"/>
      <c r="C99" s="285"/>
      <c r="D99" s="53"/>
      <c r="E99" s="181">
        <f>SQRT(E53^2+E49^2+F$93^2)/1000</f>
        <v>1.0735453771991178E-3</v>
      </c>
      <c r="F99" s="181">
        <f>SQRT(F53^2+F49^2+G$93^2)/1000</f>
        <v>4.3874811005155525E-4</v>
      </c>
      <c r="G99" s="181">
        <f>SQRT(G53^2+G49^2+H$93^2)/1000</f>
        <v>2.8744562966777701E-3</v>
      </c>
      <c r="H99" s="53"/>
      <c r="I99" s="282"/>
      <c r="J99" s="283"/>
      <c r="K99" s="282"/>
      <c r="L99" s="282"/>
      <c r="Q99" s="274">
        <f>E99</f>
        <v>1.0735453771991178E-3</v>
      </c>
      <c r="R99" s="274">
        <f>F99</f>
        <v>4.3874811005155525E-4</v>
      </c>
      <c r="S99" s="274">
        <f>G99</f>
        <v>2.8744562966777701E-3</v>
      </c>
    </row>
    <row r="100" spans="1:27">
      <c r="A100" s="284" t="str">
        <f>C54</f>
        <v>KOGL</v>
      </c>
      <c r="B100" s="284"/>
      <c r="C100" s="284" t="str">
        <f>C48</f>
        <v>21704M001</v>
      </c>
      <c r="E100" s="3">
        <f>Q100/1000</f>
        <v>-20.212824390511912</v>
      </c>
      <c r="F100" s="3">
        <f>R100/1000</f>
        <v>-21.007220902882025</v>
      </c>
      <c r="G100" s="3">
        <f>S100/1000</f>
        <v>12.994993739328679</v>
      </c>
      <c r="I100" s="280" t="str">
        <f>I54</f>
        <v>KOGL</v>
      </c>
      <c r="J100" s="281"/>
      <c r="K100" s="280">
        <f>I48</f>
        <v>7328</v>
      </c>
      <c r="L100" s="294" t="s">
        <v>246</v>
      </c>
      <c r="N100" t="s">
        <v>196</v>
      </c>
      <c r="Q100" s="275">
        <f>(Q54-Q48)*1000</f>
        <v>-20212.824390511912</v>
      </c>
      <c r="R100" s="275">
        <f>(R54-R48)*1000</f>
        <v>-21007.220902882025</v>
      </c>
      <c r="S100" s="275">
        <f>(S54-S48)*1000</f>
        <v>12994.99373932868</v>
      </c>
      <c r="U100" s="1">
        <f>E100-Q100</f>
        <v>20192.611566121399</v>
      </c>
      <c r="V100" s="1">
        <f>F100-R100</f>
        <v>20986.213681979145</v>
      </c>
      <c r="W100" s="1">
        <f>G100-S100</f>
        <v>-12981.998745589352</v>
      </c>
      <c r="Y100" s="1"/>
      <c r="Z100" s="1"/>
      <c r="AA100" s="1"/>
    </row>
    <row r="101" spans="1:27">
      <c r="A101" s="285"/>
      <c r="B101" s="285"/>
      <c r="C101" s="285"/>
      <c r="D101" s="53"/>
      <c r="E101" s="181">
        <f>SQRT(E55^2+E49^2+F$93^2)/1000</f>
        <v>1.087428009987602E-3</v>
      </c>
      <c r="F101" s="181">
        <f>SQRT(F55^2+F49^2+G$93^2)/1000</f>
        <v>4.9244279269150808E-4</v>
      </c>
      <c r="G101" s="181">
        <f>SQRT(G55^2+G49^2+H$93^2)/1000</f>
        <v>3.2407559305678178E-3</v>
      </c>
      <c r="H101" s="53"/>
      <c r="I101" s="282"/>
      <c r="J101" s="283"/>
      <c r="K101" s="282"/>
      <c r="L101" s="282"/>
      <c r="Q101" s="274">
        <f>E101</f>
        <v>1.087428009987602E-3</v>
      </c>
      <c r="R101" s="274">
        <f>F101</f>
        <v>4.9244279269150808E-4</v>
      </c>
      <c r="S101" s="274">
        <f>G101</f>
        <v>3.2407559305678178E-3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25BAD-9AAE-4D55-A519-82E5DDE4FA84}">
  <dimension ref="A1:AH72"/>
  <sheetViews>
    <sheetView workbookViewId="0">
      <selection activeCell="A50" sqref="A50"/>
    </sheetView>
  </sheetViews>
  <sheetFormatPr defaultRowHeight="15"/>
  <cols>
    <col min="1" max="1" width="12" customWidth="1"/>
    <col min="2" max="2" width="4.28515625" customWidth="1"/>
    <col min="3" max="3" width="10.85546875" customWidth="1"/>
    <col min="4" max="4" width="8.5703125" customWidth="1"/>
    <col min="5" max="7" width="14.28515625" customWidth="1"/>
    <col min="9" max="9" width="9.140625" style="9"/>
  </cols>
  <sheetData>
    <row r="1" spans="1:34" ht="15.75" thickBot="1">
      <c r="C1" t="s">
        <v>178</v>
      </c>
      <c r="D1" t="s">
        <v>177</v>
      </c>
      <c r="E1" s="1"/>
      <c r="F1" s="1"/>
      <c r="G1" s="1"/>
      <c r="I1" s="200"/>
      <c r="J1" s="9"/>
      <c r="K1" s="200"/>
      <c r="L1" s="200"/>
      <c r="P1" s="249" t="s">
        <v>215</v>
      </c>
      <c r="W1" t="s">
        <v>216</v>
      </c>
      <c r="Y1" s="54" t="s">
        <v>217</v>
      </c>
      <c r="Z1" s="54" t="s">
        <v>218</v>
      </c>
      <c r="AA1" s="54"/>
      <c r="AF1" t="s">
        <v>223</v>
      </c>
    </row>
    <row r="2" spans="1:34">
      <c r="E2" s="1"/>
      <c r="F2" s="1"/>
      <c r="G2" s="1"/>
      <c r="I2" s="200"/>
      <c r="J2" s="9"/>
      <c r="K2" s="200"/>
      <c r="L2" s="200"/>
      <c r="P2" s="249"/>
      <c r="X2" s="2" t="s">
        <v>181</v>
      </c>
      <c r="Y2" s="2">
        <v>16.399999999999999</v>
      </c>
      <c r="Z2" s="2">
        <v>-24.3</v>
      </c>
      <c r="AA2" s="2" t="s">
        <v>219</v>
      </c>
      <c r="AB2" s="2">
        <f>RADIANS(Y2/3600)</f>
        <v>7.9509443701963883E-5</v>
      </c>
      <c r="AC2" s="2">
        <f>RADIANS(Z2/3600)</f>
        <v>-1.1780972450961724E-4</v>
      </c>
      <c r="AD2" s="2" t="s">
        <v>220</v>
      </c>
      <c r="AF2" s="17">
        <v>1</v>
      </c>
      <c r="AG2" s="18">
        <v>0</v>
      </c>
      <c r="AH2" s="19">
        <f>-AF4</f>
        <v>24.3</v>
      </c>
    </row>
    <row r="3" spans="1:34">
      <c r="E3" s="1"/>
      <c r="F3" s="1"/>
      <c r="G3" s="1"/>
      <c r="I3" s="200"/>
      <c r="J3" s="9"/>
      <c r="K3" s="200"/>
      <c r="L3" s="200"/>
      <c r="P3" s="249"/>
      <c r="X3" s="2" t="s">
        <v>260</v>
      </c>
      <c r="Y3" s="2">
        <v>11.4</v>
      </c>
      <c r="Z3" s="2">
        <v>-17.399999999999999</v>
      </c>
      <c r="AA3" s="2" t="s">
        <v>219</v>
      </c>
      <c r="AB3" s="2">
        <f t="shared" ref="AB3:AC5" si="0">RADIANS(Y3/3600)</f>
        <v>5.5268759646487099E-5</v>
      </c>
      <c r="AC3" s="2">
        <f t="shared" si="0"/>
        <v>-8.4357580513059246E-5</v>
      </c>
      <c r="AD3" s="2" t="s">
        <v>220</v>
      </c>
      <c r="AF3" s="20">
        <v>0</v>
      </c>
      <c r="AG3" s="2">
        <v>1</v>
      </c>
      <c r="AH3" s="21">
        <f>-AG4</f>
        <v>-16.399999999999999</v>
      </c>
    </row>
    <row r="4" spans="1:34" ht="15.75" thickBot="1">
      <c r="E4" s="1"/>
      <c r="F4" s="1"/>
      <c r="G4" s="1"/>
      <c r="I4" s="200"/>
      <c r="J4" s="9"/>
      <c r="K4" s="200"/>
      <c r="L4" s="200"/>
      <c r="P4" s="249"/>
      <c r="X4" s="2" t="s">
        <v>221</v>
      </c>
      <c r="Y4" s="2">
        <v>-1.9</v>
      </c>
      <c r="Z4" s="2">
        <v>-9.3000000000000007</v>
      </c>
      <c r="AA4" s="2" t="s">
        <v>219</v>
      </c>
      <c r="AB4" s="2">
        <f t="shared" si="0"/>
        <v>-9.2114599410811831E-6</v>
      </c>
      <c r="AC4" s="2">
        <f t="shared" si="0"/>
        <v>-4.5087672343186846E-5</v>
      </c>
      <c r="AD4" s="2" t="s">
        <v>220</v>
      </c>
      <c r="AF4" s="22">
        <f>Z2</f>
        <v>-24.3</v>
      </c>
      <c r="AG4" s="23">
        <f>Y2</f>
        <v>16.399999999999999</v>
      </c>
      <c r="AH4" s="24">
        <v>1</v>
      </c>
    </row>
    <row r="5" spans="1:34">
      <c r="C5" t="s">
        <v>180</v>
      </c>
      <c r="D5" t="s">
        <v>221</v>
      </c>
      <c r="E5" s="1"/>
      <c r="F5" s="1"/>
      <c r="G5" s="1"/>
      <c r="I5" s="200"/>
      <c r="J5" s="9"/>
      <c r="K5" s="200"/>
      <c r="L5" s="200"/>
      <c r="Q5" t="s">
        <v>213</v>
      </c>
      <c r="U5" t="s">
        <v>221</v>
      </c>
      <c r="X5" s="2" t="s">
        <v>222</v>
      </c>
      <c r="Y5" s="2">
        <v>-4.5</v>
      </c>
      <c r="Z5" s="2">
        <v>13.6</v>
      </c>
      <c r="AA5" s="2" t="s">
        <v>219</v>
      </c>
      <c r="AB5" s="2">
        <f t="shared" si="0"/>
        <v>-2.1816615649929121E-5</v>
      </c>
      <c r="AC5" s="2">
        <f t="shared" si="0"/>
        <v>6.5934660630896893E-5</v>
      </c>
      <c r="AD5" s="2" t="s">
        <v>220</v>
      </c>
    </row>
    <row r="6" spans="1:34">
      <c r="A6" s="2"/>
      <c r="B6" s="2"/>
      <c r="C6" s="2" t="s">
        <v>179</v>
      </c>
      <c r="D6" s="2"/>
      <c r="E6" s="6"/>
      <c r="F6" s="6"/>
      <c r="G6" s="6"/>
      <c r="H6" s="2"/>
      <c r="I6" s="201" t="s">
        <v>184</v>
      </c>
      <c r="J6" s="194"/>
      <c r="K6" s="201"/>
      <c r="L6" s="201"/>
    </row>
    <row r="7" spans="1:34" ht="15.75" thickBot="1">
      <c r="A7" s="60"/>
      <c r="B7" s="60"/>
      <c r="C7" s="60"/>
      <c r="D7" s="60"/>
      <c r="E7" s="216" t="s">
        <v>22</v>
      </c>
      <c r="F7" s="217" t="s">
        <v>23</v>
      </c>
      <c r="G7" s="217" t="s">
        <v>24</v>
      </c>
      <c r="H7" s="218"/>
      <c r="I7" s="219"/>
      <c r="J7" s="113"/>
      <c r="K7" s="219" t="s">
        <v>183</v>
      </c>
      <c r="L7" s="219" t="s">
        <v>182</v>
      </c>
      <c r="O7" t="s">
        <v>214</v>
      </c>
      <c r="P7" t="s">
        <v>207</v>
      </c>
      <c r="Q7" s="216" t="s">
        <v>22</v>
      </c>
      <c r="R7" s="217" t="s">
        <v>23</v>
      </c>
      <c r="S7" s="217" t="s">
        <v>24</v>
      </c>
      <c r="U7" s="219" t="s">
        <v>183</v>
      </c>
      <c r="V7" s="219" t="s">
        <v>182</v>
      </c>
    </row>
    <row r="8" spans="1:34" ht="15.75" thickTop="1">
      <c r="A8" s="56" t="s">
        <v>252</v>
      </c>
      <c r="B8" s="56"/>
      <c r="C8" s="233" t="s">
        <v>257</v>
      </c>
      <c r="D8" s="56"/>
      <c r="E8" s="50">
        <f>H11mir!R24</f>
        <v>-3976129.9306999999</v>
      </c>
      <c r="F8" s="50">
        <f>H11mir!S24</f>
        <v>3377927.8454</v>
      </c>
      <c r="G8" s="50">
        <f>H11mir!T24</f>
        <v>3656753.8336</v>
      </c>
      <c r="H8" s="56"/>
      <c r="I8" s="9">
        <v>7336</v>
      </c>
      <c r="J8" s="56"/>
      <c r="K8" s="56">
        <v>1996</v>
      </c>
      <c r="L8" s="56">
        <v>275</v>
      </c>
      <c r="N8" t="str">
        <f>A8</f>
        <v>Miu11-CP0</v>
      </c>
      <c r="O8" t="str">
        <f>C8</f>
        <v>21739S001</v>
      </c>
      <c r="P8" s="248">
        <f>I8</f>
        <v>7336</v>
      </c>
      <c r="Q8" s="250">
        <f>H11mir!AX13</f>
        <v>64.040686586382989</v>
      </c>
      <c r="R8" s="250">
        <f>H11mir!AY13</f>
        <v>-0.30246934570179684</v>
      </c>
      <c r="S8" s="250">
        <f>H11mir!AZ13</f>
        <v>81.034391652693387</v>
      </c>
      <c r="U8" s="248">
        <f>K8</f>
        <v>1996</v>
      </c>
      <c r="V8" s="248">
        <f>L8</f>
        <v>275</v>
      </c>
    </row>
    <row r="9" spans="1:34">
      <c r="A9" s="2"/>
      <c r="B9" s="2"/>
      <c r="C9" s="2"/>
      <c r="D9" s="2"/>
      <c r="E9" s="6">
        <v>0.7</v>
      </c>
      <c r="F9" s="6">
        <v>0.8</v>
      </c>
      <c r="G9" s="6">
        <v>0.6</v>
      </c>
      <c r="H9" s="2"/>
      <c r="I9" s="194"/>
      <c r="J9" s="2"/>
      <c r="K9" s="2"/>
      <c r="L9" s="2"/>
      <c r="N9" t="s">
        <v>185</v>
      </c>
    </row>
    <row r="10" spans="1:34">
      <c r="A10" s="14" t="s">
        <v>139</v>
      </c>
      <c r="B10" s="14"/>
      <c r="C10" s="233" t="s">
        <v>256</v>
      </c>
      <c r="D10" s="2"/>
      <c r="E10" s="124">
        <f>H11mir!R28</f>
        <v>-3976161.6910999999</v>
      </c>
      <c r="F10" s="124">
        <f>H11mir!S28</f>
        <v>3377950.3618000001</v>
      </c>
      <c r="G10" s="124">
        <f>H11mir!T28</f>
        <v>3656687.2771000001</v>
      </c>
      <c r="H10" s="2"/>
      <c r="I10" s="9">
        <v>7337</v>
      </c>
      <c r="J10" s="2"/>
      <c r="K10" s="2">
        <v>1996</v>
      </c>
      <c r="L10" s="2">
        <v>275</v>
      </c>
      <c r="N10" t="str">
        <f>A10</f>
        <v>SLR-S2(RT)</v>
      </c>
      <c r="O10" t="str">
        <f>C10</f>
        <v>21739M001</v>
      </c>
      <c r="P10" s="248">
        <f>I10</f>
        <v>7337</v>
      </c>
      <c r="Q10" s="250">
        <f>H11mir!AX12</f>
        <v>32.280114217905357</v>
      </c>
      <c r="R10" s="250">
        <f>H11mir!AY12</f>
        <v>22.214893265299775</v>
      </c>
      <c r="S10" s="250">
        <f>H11mir!AZ12</f>
        <v>14.478166287876718</v>
      </c>
      <c r="U10" s="248">
        <f>K10</f>
        <v>1996</v>
      </c>
      <c r="V10" s="248">
        <f>L10</f>
        <v>275</v>
      </c>
    </row>
    <row r="11" spans="1:34">
      <c r="A11" s="2"/>
      <c r="B11" s="2"/>
      <c r="C11" s="2"/>
      <c r="D11" s="2"/>
      <c r="E11" s="2">
        <v>1.5</v>
      </c>
      <c r="F11" s="6">
        <v>0.3</v>
      </c>
      <c r="G11" s="6">
        <v>0.1</v>
      </c>
      <c r="H11" s="2"/>
      <c r="I11" s="194"/>
      <c r="J11" s="2"/>
      <c r="K11" s="2"/>
      <c r="L11" s="2"/>
      <c r="N11" t="s">
        <v>276</v>
      </c>
    </row>
    <row r="12" spans="1:34">
      <c r="A12" s="14" t="s">
        <v>32</v>
      </c>
      <c r="B12" s="2"/>
      <c r="C12" s="2" t="s">
        <v>251</v>
      </c>
      <c r="D12" s="2"/>
      <c r="E12" s="14">
        <f>H11mir!R26</f>
        <v>-3976171.8703000001</v>
      </c>
      <c r="F12" s="14">
        <f>H11mir!S26</f>
        <v>3377941.6754000001</v>
      </c>
      <c r="G12" s="14">
        <f>H11mir!T26</f>
        <v>3656691.9602000001</v>
      </c>
      <c r="H12" s="2"/>
      <c r="I12" s="9" t="s">
        <v>251</v>
      </c>
      <c r="J12" s="2"/>
      <c r="K12" s="2">
        <v>1996</v>
      </c>
      <c r="L12" s="2">
        <v>275</v>
      </c>
      <c r="N12" t="str">
        <f>A12</f>
        <v>SLR-CP0</v>
      </c>
      <c r="O12" t="str">
        <f>C12</f>
        <v>MIUL</v>
      </c>
      <c r="P12" s="248" t="str">
        <f>I12</f>
        <v>MIUL</v>
      </c>
      <c r="Q12" s="250">
        <f>H11mir!AX10</f>
        <v>22.101205817249273</v>
      </c>
      <c r="R12" s="250">
        <f>H11mir!AY10</f>
        <v>13.527977527640356</v>
      </c>
      <c r="S12" s="250">
        <f>H11mir!AZ10</f>
        <v>19.160989930029785</v>
      </c>
      <c r="U12" s="248">
        <f>K12</f>
        <v>1996</v>
      </c>
      <c r="V12" s="248">
        <f>L12</f>
        <v>275</v>
      </c>
    </row>
    <row r="13" spans="1:34">
      <c r="A13" s="2"/>
      <c r="B13" s="2"/>
      <c r="C13" s="2"/>
      <c r="D13" s="2"/>
      <c r="E13" s="6">
        <v>0.1</v>
      </c>
      <c r="F13" s="6">
        <v>0.1</v>
      </c>
      <c r="G13" s="6">
        <v>0.1</v>
      </c>
      <c r="H13" s="2"/>
      <c r="I13" s="194"/>
      <c r="J13" s="2"/>
      <c r="K13" s="2"/>
      <c r="L13" s="2"/>
      <c r="N13" t="s">
        <v>277</v>
      </c>
    </row>
    <row r="15" spans="1:34" ht="15.75" thickBot="1">
      <c r="Q15" s="216" t="s">
        <v>22</v>
      </c>
      <c r="R15" s="217" t="s">
        <v>23</v>
      </c>
      <c r="S15" s="217" t="s">
        <v>24</v>
      </c>
    </row>
    <row r="16" spans="1:34" ht="15.75" thickTop="1">
      <c r="A16" s="56" t="s">
        <v>252</v>
      </c>
      <c r="B16" s="56"/>
      <c r="C16" s="233" t="s">
        <v>257</v>
      </c>
      <c r="D16" s="56"/>
      <c r="E16" s="14">
        <f>H11mir!N24</f>
        <v>-3976129.9306999999</v>
      </c>
      <c r="F16" s="14">
        <f>H11mir!O24</f>
        <v>3377927.8470000001</v>
      </c>
      <c r="G16" s="14">
        <f>H11mir!P24</f>
        <v>3656753.8300999999</v>
      </c>
      <c r="H16" s="56"/>
      <c r="I16" s="9">
        <v>7336</v>
      </c>
      <c r="J16" s="56"/>
      <c r="K16" s="56">
        <v>1997</v>
      </c>
      <c r="L16" s="56">
        <v>275</v>
      </c>
      <c r="N16" t="str">
        <f>A16</f>
        <v>Miu11-CP0</v>
      </c>
      <c r="O16" t="str">
        <f>C16</f>
        <v>21739S001</v>
      </c>
      <c r="P16" s="248">
        <f>I16</f>
        <v>7336</v>
      </c>
      <c r="Q16" s="250">
        <f>H11mir!AT13</f>
        <v>64.040737666421379</v>
      </c>
      <c r="R16" s="250">
        <f>H11mir!AU13</f>
        <v>-0.30080687551691598</v>
      </c>
      <c r="S16" s="250">
        <f>H11mir!AV13</f>
        <v>81.030840091948392</v>
      </c>
      <c r="U16" s="248">
        <f>K16</f>
        <v>1997</v>
      </c>
      <c r="V16" s="248">
        <f>L16</f>
        <v>275</v>
      </c>
    </row>
    <row r="17" spans="1:22">
      <c r="A17" s="2"/>
      <c r="B17" s="2"/>
      <c r="C17" s="2"/>
      <c r="D17" s="2"/>
      <c r="E17" s="6">
        <v>0.7</v>
      </c>
      <c r="F17" s="6">
        <v>0.8</v>
      </c>
      <c r="G17" s="6">
        <v>0.6</v>
      </c>
      <c r="H17" s="2"/>
      <c r="I17" s="194"/>
      <c r="J17" s="2"/>
      <c r="K17" s="2"/>
      <c r="L17" s="2"/>
      <c r="N17" t="s">
        <v>185</v>
      </c>
    </row>
    <row r="18" spans="1:22">
      <c r="A18" s="14" t="s">
        <v>139</v>
      </c>
      <c r="B18" s="14"/>
      <c r="C18" s="233" t="s">
        <v>256</v>
      </c>
      <c r="D18" s="2"/>
      <c r="E18" s="124">
        <f>H11mir!N28</f>
        <v>-3976161.6919999998</v>
      </c>
      <c r="F18" s="124">
        <f>H11mir!O28</f>
        <v>3377950.3615999999</v>
      </c>
      <c r="G18" s="124">
        <f>H11mir!P28</f>
        <v>3656687.2766</v>
      </c>
      <c r="H18" s="2"/>
      <c r="I18" s="9">
        <v>7337</v>
      </c>
      <c r="J18" s="2"/>
      <c r="K18" s="56">
        <v>1997</v>
      </c>
      <c r="L18" s="2">
        <v>275</v>
      </c>
      <c r="N18" t="str">
        <f>A18</f>
        <v>SLR-S2(RT)</v>
      </c>
      <c r="O18" t="str">
        <f>C18</f>
        <v>21739M001</v>
      </c>
      <c r="P18" s="248">
        <f>I18</f>
        <v>7337</v>
      </c>
      <c r="Q18" s="250">
        <f>H11mir!AT12</f>
        <v>32.279291182308206</v>
      </c>
      <c r="R18" s="250">
        <f>H11mir!AU12</f>
        <v>22.214673965124682</v>
      </c>
      <c r="S18" s="250">
        <f>H11mir!AV12</f>
        <v>14.477651972954023</v>
      </c>
      <c r="U18" s="248">
        <f>K18</f>
        <v>1997</v>
      </c>
      <c r="V18" s="248">
        <f>L18</f>
        <v>275</v>
      </c>
    </row>
    <row r="19" spans="1:22">
      <c r="A19" s="2"/>
      <c r="B19" s="2"/>
      <c r="C19" s="2"/>
      <c r="D19" s="2"/>
      <c r="E19" s="2">
        <v>1.5</v>
      </c>
      <c r="F19" s="6">
        <v>0.3</v>
      </c>
      <c r="G19" s="6">
        <v>0.1</v>
      </c>
      <c r="H19" s="2"/>
      <c r="I19" s="194"/>
      <c r="J19" s="2"/>
      <c r="K19" s="2"/>
      <c r="L19" s="2"/>
      <c r="N19" t="s">
        <v>276</v>
      </c>
    </row>
    <row r="20" spans="1:22">
      <c r="A20" s="14" t="s">
        <v>32</v>
      </c>
      <c r="B20" s="2"/>
      <c r="C20" s="194" t="s">
        <v>251</v>
      </c>
      <c r="D20" s="2"/>
      <c r="E20" s="14">
        <f>H11mir!N26</f>
        <v>-3976171.8727000002</v>
      </c>
      <c r="F20" s="14">
        <f>H11mir!O26</f>
        <v>3377941.676</v>
      </c>
      <c r="G20" s="14">
        <f>H11mir!P26</f>
        <v>3656691.9608999998</v>
      </c>
      <c r="H20" s="2"/>
      <c r="I20" s="194" t="s">
        <v>251</v>
      </c>
      <c r="J20" s="2"/>
      <c r="K20" s="56">
        <v>1997</v>
      </c>
      <c r="L20" s="2">
        <v>275</v>
      </c>
      <c r="N20" t="str">
        <f>A20</f>
        <v>SLR-CP0</v>
      </c>
      <c r="O20" t="str">
        <f>C20</f>
        <v>MIUL</v>
      </c>
      <c r="P20" s="248" t="str">
        <f>I20</f>
        <v>MIUL</v>
      </c>
      <c r="Q20" s="250">
        <f>H11mir!AT10</f>
        <v>22.09877214922145</v>
      </c>
      <c r="R20" s="250">
        <f>H11mir!AU10</f>
        <v>13.528601557121631</v>
      </c>
      <c r="S20" s="250">
        <f>H11mir!AV10</f>
        <v>19.161604622757</v>
      </c>
      <c r="U20" s="248">
        <f>K20</f>
        <v>1997</v>
      </c>
      <c r="V20" s="248">
        <f>L20</f>
        <v>275</v>
      </c>
    </row>
    <row r="21" spans="1:22">
      <c r="A21" s="2"/>
      <c r="B21" s="2"/>
      <c r="C21" s="2"/>
      <c r="D21" s="2"/>
      <c r="E21" s="6">
        <v>0.1</v>
      </c>
      <c r="F21" s="6">
        <v>0.1</v>
      </c>
      <c r="G21" s="6">
        <v>0.1</v>
      </c>
      <c r="H21" s="2"/>
      <c r="I21" s="194"/>
      <c r="J21" s="2"/>
      <c r="K21" s="2"/>
      <c r="L21" s="2"/>
      <c r="N21" t="s">
        <v>277</v>
      </c>
    </row>
    <row r="23" spans="1:22" ht="15.75" thickBot="1">
      <c r="Q23" s="216" t="s">
        <v>22</v>
      </c>
      <c r="R23" s="217" t="s">
        <v>23</v>
      </c>
      <c r="S23" s="217" t="s">
        <v>24</v>
      </c>
    </row>
    <row r="24" spans="1:22" ht="15.75" thickTop="1">
      <c r="A24" s="56" t="s">
        <v>252</v>
      </c>
      <c r="B24" s="56"/>
      <c r="C24" s="56" t="s">
        <v>176</v>
      </c>
      <c r="D24" s="56"/>
      <c r="E24" s="14">
        <f>H11mir!J24</f>
        <v>-3976129.9311000002</v>
      </c>
      <c r="F24" s="14">
        <f>H11mir!K24</f>
        <v>3377927.8498</v>
      </c>
      <c r="G24" s="14">
        <f>H11mir!L24</f>
        <v>3656753.8291000002</v>
      </c>
      <c r="H24" s="56"/>
      <c r="I24" s="9">
        <v>7336</v>
      </c>
      <c r="J24" s="56"/>
      <c r="K24" s="56">
        <v>1998</v>
      </c>
      <c r="L24" s="56">
        <v>275</v>
      </c>
      <c r="N24" t="str">
        <f>A24</f>
        <v>Miu11-CP0</v>
      </c>
      <c r="O24" t="str">
        <f>C24</f>
        <v>21704S004</v>
      </c>
      <c r="P24" s="248">
        <f>I24</f>
        <v>7336</v>
      </c>
      <c r="Q24" s="250">
        <f>H11mir!AP13</f>
        <v>64.040233049534237</v>
      </c>
      <c r="R24" s="250">
        <f>H11mir!AQ13</f>
        <v>-0.29801637997307662</v>
      </c>
      <c r="S24" s="250">
        <f>H11mir!AR13</f>
        <v>81.029816130801606</v>
      </c>
      <c r="U24" s="248">
        <f>K24</f>
        <v>1998</v>
      </c>
      <c r="V24" s="248">
        <f>L24</f>
        <v>275</v>
      </c>
    </row>
    <row r="25" spans="1:22">
      <c r="A25" s="2"/>
      <c r="B25" s="2"/>
      <c r="C25" s="2"/>
      <c r="D25" s="2"/>
      <c r="E25" s="6">
        <v>0.7</v>
      </c>
      <c r="F25" s="6">
        <v>0.8</v>
      </c>
      <c r="G25" s="6">
        <v>0.6</v>
      </c>
      <c r="H25" s="2"/>
      <c r="I25" s="194"/>
      <c r="J25" s="2"/>
      <c r="K25" s="2"/>
      <c r="L25" s="2"/>
      <c r="N25" t="s">
        <v>185</v>
      </c>
    </row>
    <row r="26" spans="1:22">
      <c r="A26" s="14" t="s">
        <v>139</v>
      </c>
      <c r="B26" s="14"/>
      <c r="C26" s="2" t="s">
        <v>202</v>
      </c>
      <c r="D26" s="2"/>
      <c r="E26" s="124">
        <f>H11mir!J28</f>
        <v>-3976161.6921000001</v>
      </c>
      <c r="F26" s="124">
        <f>H11mir!K28</f>
        <v>3377950.3615999999</v>
      </c>
      <c r="G26" s="124">
        <f>H11mir!L28</f>
        <v>3656687.2760999999</v>
      </c>
      <c r="H26" s="2"/>
      <c r="I26" s="9">
        <v>7337</v>
      </c>
      <c r="J26" s="2"/>
      <c r="K26" s="56">
        <v>1998</v>
      </c>
      <c r="L26" s="2">
        <v>275</v>
      </c>
      <c r="N26" t="str">
        <f>A26</f>
        <v>SLR-S2(RT)</v>
      </c>
      <c r="O26" t="str">
        <f>C26</f>
        <v>21704M001</v>
      </c>
      <c r="P26" s="248">
        <f>I26</f>
        <v>7337</v>
      </c>
      <c r="Q26" s="250">
        <f>H11mir!AP12</f>
        <v>32.279175232354206</v>
      </c>
      <c r="R26" s="250">
        <f>H11mir!AQ12</f>
        <v>22.214641267360928</v>
      </c>
      <c r="S26" s="250">
        <f>H11mir!AR12</f>
        <v>14.477209834441229</v>
      </c>
      <c r="U26" s="248">
        <f>K26</f>
        <v>1998</v>
      </c>
      <c r="V26" s="248">
        <f>L26</f>
        <v>275</v>
      </c>
    </row>
    <row r="27" spans="1:22">
      <c r="A27" s="2"/>
      <c r="B27" s="2"/>
      <c r="C27" s="2"/>
      <c r="D27" s="2"/>
      <c r="E27" s="2">
        <v>1.5</v>
      </c>
      <c r="F27" s="6">
        <v>0.3</v>
      </c>
      <c r="G27" s="6">
        <v>0.1</v>
      </c>
      <c r="H27" s="2"/>
      <c r="I27" s="194"/>
      <c r="J27" s="2"/>
      <c r="K27" s="2"/>
      <c r="L27" s="2"/>
      <c r="N27" t="s">
        <v>185</v>
      </c>
    </row>
    <row r="28" spans="1:22">
      <c r="A28" s="14" t="s">
        <v>244</v>
      </c>
      <c r="B28" s="2"/>
      <c r="C28" s="2"/>
      <c r="D28" s="2"/>
      <c r="E28" s="14">
        <f>H11mir!J22</f>
        <v>-3976113.3095999998</v>
      </c>
      <c r="F28" s="14">
        <f>H11mir!K22</f>
        <v>3377937.4662000001</v>
      </c>
      <c r="G28" s="14">
        <f>H11mir!L22</f>
        <v>3656688.8394999998</v>
      </c>
      <c r="H28" s="2"/>
      <c r="I28" s="194"/>
      <c r="J28" s="2"/>
      <c r="K28" s="56">
        <v>1998</v>
      </c>
      <c r="L28" s="2">
        <v>275</v>
      </c>
      <c r="N28" t="str">
        <f>A28</f>
        <v>SLR-TGPS</v>
      </c>
      <c r="O28">
        <f>C28</f>
        <v>0</v>
      </c>
      <c r="P28" s="248">
        <f>I28</f>
        <v>0</v>
      </c>
      <c r="Q28" s="144">
        <f>H11mir!AP15</f>
        <v>80.660455790887227</v>
      </c>
      <c r="R28" s="144">
        <f>H11mir!AQ15</f>
        <v>7.934208163796586</v>
      </c>
      <c r="S28" s="144">
        <f>H11mir!AR15</f>
        <v>83.641419891852536</v>
      </c>
      <c r="U28" s="248">
        <f>K28</f>
        <v>1998</v>
      </c>
      <c r="V28" s="248">
        <f>L28</f>
        <v>275</v>
      </c>
    </row>
    <row r="29" spans="1:22">
      <c r="A29" s="2"/>
      <c r="B29" s="2"/>
      <c r="C29" s="2"/>
      <c r="D29" s="2"/>
      <c r="E29" s="6"/>
      <c r="F29" s="6"/>
      <c r="G29" s="87"/>
      <c r="H29" s="2"/>
      <c r="I29" s="194"/>
      <c r="J29" s="2"/>
      <c r="K29" s="2"/>
      <c r="L29" s="2"/>
      <c r="N29" t="s">
        <v>185</v>
      </c>
    </row>
    <row r="30" spans="1:22">
      <c r="A30" s="14" t="s">
        <v>32</v>
      </c>
      <c r="B30" s="2"/>
      <c r="C30" s="194" t="s">
        <v>251</v>
      </c>
      <c r="D30" s="2"/>
      <c r="E30" s="14">
        <f>H11mir!J26</f>
        <v>-3976171.875</v>
      </c>
      <c r="F30" s="14">
        <f>H11mir!K26</f>
        <v>3377941.6776999999</v>
      </c>
      <c r="G30" s="14">
        <f>H11mir!L26</f>
        <v>3656691.9622999998</v>
      </c>
      <c r="H30" s="2"/>
      <c r="I30" s="194" t="s">
        <v>251</v>
      </c>
      <c r="J30" s="2"/>
      <c r="K30" s="56">
        <v>1998</v>
      </c>
      <c r="L30" s="2">
        <v>275</v>
      </c>
      <c r="N30" t="str">
        <f>A30</f>
        <v>SLR-CP0</v>
      </c>
      <c r="O30" t="str">
        <f>C30</f>
        <v>MIUL</v>
      </c>
      <c r="P30" s="248" t="str">
        <f>I30</f>
        <v>MIUL</v>
      </c>
      <c r="Q30" s="250">
        <f>H11mir!AP10</f>
        <v>22.096492521522926</v>
      </c>
      <c r="R30" s="250">
        <f>H11mir!AQ10</f>
        <v>13.530275602802114</v>
      </c>
      <c r="S30" s="250">
        <f>H11mir!AR10</f>
        <v>19.162983342683653</v>
      </c>
      <c r="U30" s="248">
        <f>K30</f>
        <v>1998</v>
      </c>
      <c r="V30" s="248">
        <f>L30</f>
        <v>275</v>
      </c>
    </row>
    <row r="31" spans="1:22">
      <c r="A31" s="2"/>
      <c r="B31" s="2"/>
      <c r="C31" s="2"/>
      <c r="D31" s="2"/>
      <c r="E31" s="2">
        <v>1.5</v>
      </c>
      <c r="F31" s="6">
        <v>0.3</v>
      </c>
      <c r="G31" s="6">
        <v>0.1</v>
      </c>
      <c r="H31" s="2"/>
      <c r="I31" s="194"/>
      <c r="J31" s="2"/>
      <c r="K31" s="2"/>
      <c r="L31" s="2"/>
      <c r="N31" t="s">
        <v>185</v>
      </c>
    </row>
    <row r="34" spans="1:29">
      <c r="A34" s="56" t="s">
        <v>252</v>
      </c>
      <c r="B34" s="56"/>
      <c r="C34" s="56" t="s">
        <v>176</v>
      </c>
      <c r="D34" s="56"/>
      <c r="E34" s="124">
        <f>H11mir!F24</f>
        <v>-3976129.9319000002</v>
      </c>
      <c r="F34" s="124">
        <f>H11mir!G24</f>
        <v>3377927.8420000002</v>
      </c>
      <c r="G34" s="124">
        <f>H11mir!H24</f>
        <v>3656753.8265</v>
      </c>
      <c r="H34" s="56"/>
      <c r="I34" s="9">
        <v>7336</v>
      </c>
      <c r="J34" s="56"/>
      <c r="K34" s="56">
        <v>1999</v>
      </c>
      <c r="L34" s="56">
        <v>305</v>
      </c>
      <c r="N34" t="str">
        <f>A34</f>
        <v>Miu11-CP0</v>
      </c>
      <c r="O34" t="str">
        <f>C34</f>
        <v>21704S004</v>
      </c>
      <c r="P34" s="248">
        <f>I34</f>
        <v>7336</v>
      </c>
      <c r="Q34" s="250">
        <f>H11mir!AL13</f>
        <v>64.039490803065704</v>
      </c>
      <c r="R34" s="250">
        <f>H11mir!AM13</f>
        <v>-0.29869787068479692</v>
      </c>
      <c r="S34" s="250">
        <f>H11mir!AN13</f>
        <v>81.027211396535975</v>
      </c>
      <c r="U34" s="248">
        <f>K34</f>
        <v>1999</v>
      </c>
      <c r="V34" s="248">
        <f>L34</f>
        <v>305</v>
      </c>
    </row>
    <row r="35" spans="1:29">
      <c r="A35" s="2"/>
      <c r="B35" s="2"/>
      <c r="C35" s="2"/>
      <c r="D35" s="2"/>
      <c r="E35" s="6">
        <v>0.7</v>
      </c>
      <c r="F35" s="6">
        <v>0.8</v>
      </c>
      <c r="G35" s="6">
        <v>0.6</v>
      </c>
      <c r="H35" s="2"/>
      <c r="I35" s="194"/>
      <c r="J35" s="2"/>
      <c r="K35" s="2"/>
      <c r="L35" s="2"/>
    </row>
    <row r="36" spans="1:29">
      <c r="A36" s="14" t="s">
        <v>139</v>
      </c>
      <c r="B36" s="14"/>
      <c r="C36" s="2" t="s">
        <v>202</v>
      </c>
      <c r="D36" s="2"/>
      <c r="E36" s="124">
        <f>H11mir!F28</f>
        <v>-3976161.693</v>
      </c>
      <c r="F36" s="124">
        <f>H11mir!G28</f>
        <v>3377950.3604000001</v>
      </c>
      <c r="G36" s="124">
        <f>H11mir!H28</f>
        <v>3656687.2762000002</v>
      </c>
      <c r="H36" s="2"/>
      <c r="I36" s="9">
        <v>7337</v>
      </c>
      <c r="J36" s="2"/>
      <c r="K36" s="56">
        <v>1999</v>
      </c>
      <c r="L36" s="56">
        <v>305</v>
      </c>
      <c r="N36" t="str">
        <f>A36</f>
        <v>SLR-S2(RT)</v>
      </c>
      <c r="O36" t="str">
        <f>C36</f>
        <v>21704M001</v>
      </c>
      <c r="P36" s="248">
        <f>I36</f>
        <v>7337</v>
      </c>
      <c r="Q36" s="250">
        <f>H11mir!AL12</f>
        <v>32.278248038429261</v>
      </c>
      <c r="R36" s="250">
        <f>H11mir!AM12</f>
        <v>22.213460741318826</v>
      </c>
      <c r="S36" s="250">
        <f>H11mir!AN12</f>
        <v>14.477291502636788</v>
      </c>
      <c r="U36" s="248">
        <f>K36</f>
        <v>1999</v>
      </c>
      <c r="V36" s="248">
        <f>L36</f>
        <v>305</v>
      </c>
    </row>
    <row r="37" spans="1:29">
      <c r="A37" s="2"/>
      <c r="B37" s="2"/>
      <c r="C37" s="2"/>
      <c r="D37" s="2"/>
      <c r="E37" s="2">
        <v>1.5</v>
      </c>
      <c r="F37" s="6">
        <v>0.3</v>
      </c>
      <c r="G37" s="6">
        <v>0.1</v>
      </c>
      <c r="H37" s="2"/>
      <c r="I37" s="194"/>
      <c r="J37" s="2"/>
      <c r="K37" s="2"/>
      <c r="L37" s="2"/>
    </row>
    <row r="38" spans="1:29">
      <c r="A38" s="14" t="s">
        <v>32</v>
      </c>
      <c r="B38" s="2"/>
      <c r="C38" s="194" t="s">
        <v>251</v>
      </c>
      <c r="D38" s="2"/>
      <c r="E38" s="124">
        <f>H11mir!F26</f>
        <v>-3976171.8763000001</v>
      </c>
      <c r="F38" s="124">
        <f>H11mir!G26</f>
        <v>3377941.6787</v>
      </c>
      <c r="G38" s="124">
        <f>H11mir!H26</f>
        <v>3656691.9632000001</v>
      </c>
      <c r="H38" s="2"/>
      <c r="I38" s="194" t="s">
        <v>251</v>
      </c>
      <c r="J38" s="2"/>
      <c r="K38" s="56">
        <v>1999</v>
      </c>
      <c r="L38" s="56">
        <v>305</v>
      </c>
      <c r="N38" t="str">
        <f>A38</f>
        <v>SLR-CP0</v>
      </c>
      <c r="O38" t="str">
        <f>C38</f>
        <v>MIUL</v>
      </c>
      <c r="P38" s="248" t="str">
        <f>I38</f>
        <v>MIUL</v>
      </c>
      <c r="Q38" s="250">
        <f>H11mir!AL10</f>
        <v>22.095221464696259</v>
      </c>
      <c r="R38" s="250">
        <f>H11mir!AM10</f>
        <v>13.531355317423111</v>
      </c>
      <c r="S38" s="250">
        <f>H11mir!AN10</f>
        <v>19.163915346379046</v>
      </c>
      <c r="U38" s="248">
        <f>K38</f>
        <v>1999</v>
      </c>
      <c r="V38" s="248">
        <f>L38</f>
        <v>305</v>
      </c>
    </row>
    <row r="39" spans="1:29">
      <c r="A39" s="2"/>
      <c r="B39" s="2"/>
      <c r="C39" s="2"/>
      <c r="D39" s="2"/>
      <c r="E39" s="2">
        <v>1.5</v>
      </c>
      <c r="F39" s="6">
        <v>0.3</v>
      </c>
      <c r="G39" s="6">
        <v>0.1</v>
      </c>
      <c r="H39" s="2"/>
      <c r="I39" s="194"/>
      <c r="J39" s="2"/>
      <c r="K39" s="2"/>
      <c r="L39" s="2"/>
    </row>
    <row r="42" spans="1:29">
      <c r="C42" t="s">
        <v>191</v>
      </c>
      <c r="E42" s="1"/>
      <c r="F42" s="151" t="s">
        <v>22</v>
      </c>
      <c r="G42" s="151" t="s">
        <v>23</v>
      </c>
      <c r="H42" s="151" t="s">
        <v>24</v>
      </c>
      <c r="I42" s="200"/>
      <c r="J42" s="9"/>
      <c r="K42" s="152" t="s">
        <v>5</v>
      </c>
      <c r="L42" s="151" t="s">
        <v>4</v>
      </c>
      <c r="M42" s="151" t="s">
        <v>6</v>
      </c>
    </row>
    <row r="43" spans="1:29">
      <c r="E43" s="1"/>
      <c r="F43" s="169">
        <v>-10183.939594803798</v>
      </c>
      <c r="G43" s="169">
        <v>-8683.2971150349513</v>
      </c>
      <c r="H43" s="169">
        <v>4686.7650027938398</v>
      </c>
      <c r="I43" s="200"/>
      <c r="J43" s="9"/>
      <c r="K43" s="210">
        <v>13211.2</v>
      </c>
      <c r="L43" s="169">
        <v>2596.1</v>
      </c>
      <c r="M43" s="169">
        <v>4450</v>
      </c>
    </row>
    <row r="44" spans="1:29">
      <c r="A44" s="7"/>
      <c r="B44" s="7"/>
      <c r="C44" s="7"/>
      <c r="D44" s="7"/>
      <c r="E44" s="7"/>
      <c r="F44" s="8">
        <v>2</v>
      </c>
      <c r="G44" s="8">
        <v>2</v>
      </c>
      <c r="H44" s="8">
        <v>2</v>
      </c>
      <c r="I44" s="174"/>
      <c r="J44" s="7"/>
      <c r="K44" s="8">
        <v>2</v>
      </c>
      <c r="L44" s="8">
        <v>2</v>
      </c>
      <c r="M44" s="8">
        <v>2</v>
      </c>
      <c r="N44" s="7"/>
      <c r="O44" s="7"/>
      <c r="P44" s="7"/>
      <c r="Q44" s="7"/>
      <c r="R44" s="7"/>
      <c r="S44" s="7"/>
    </row>
    <row r="45" spans="1:29" ht="15.75" thickBot="1">
      <c r="A45" s="36"/>
      <c r="B45" s="36"/>
      <c r="C45" s="36"/>
      <c r="D45" s="36"/>
      <c r="E45" s="36"/>
      <c r="F45" s="36"/>
      <c r="G45" s="36"/>
      <c r="H45" s="36"/>
      <c r="I45" s="208"/>
      <c r="J45" s="36"/>
      <c r="K45" s="36"/>
      <c r="L45" s="36"/>
      <c r="M45" s="36"/>
      <c r="N45" s="36"/>
      <c r="O45" s="36"/>
      <c r="P45" s="36"/>
      <c r="Q45" s="36"/>
      <c r="R45" s="36"/>
      <c r="S45" s="36"/>
    </row>
    <row r="46" spans="1:29" ht="15.75" thickTop="1"/>
    <row r="47" spans="1:29">
      <c r="A47" t="s">
        <v>285</v>
      </c>
      <c r="C47" t="s">
        <v>192</v>
      </c>
      <c r="E47" s="6" t="s">
        <v>241</v>
      </c>
      <c r="F47" s="6">
        <v>2.3942846178642867</v>
      </c>
      <c r="G47" s="6">
        <v>0.19684261712245643</v>
      </c>
      <c r="H47" s="6">
        <v>5.0528362533327709</v>
      </c>
      <c r="I47" s="200"/>
      <c r="J47" s="9"/>
      <c r="K47" s="200"/>
      <c r="L47" s="200"/>
      <c r="P47" t="s">
        <v>213</v>
      </c>
      <c r="U47" t="s">
        <v>238</v>
      </c>
      <c r="V47" t="s">
        <v>239</v>
      </c>
      <c r="Y47" t="s">
        <v>238</v>
      </c>
      <c r="Z47" t="s">
        <v>278</v>
      </c>
    </row>
    <row r="48" spans="1:29" ht="15.75" thickBot="1">
      <c r="A48" s="36"/>
      <c r="B48" s="36" t="s">
        <v>193</v>
      </c>
      <c r="C48" s="36" t="s">
        <v>236</v>
      </c>
      <c r="D48" s="36"/>
      <c r="E48" s="206" t="s">
        <v>22</v>
      </c>
      <c r="F48" s="206" t="s">
        <v>23</v>
      </c>
      <c r="G48" s="206" t="s">
        <v>24</v>
      </c>
      <c r="H48" s="36"/>
      <c r="I48" s="278" t="s">
        <v>207</v>
      </c>
      <c r="J48" s="279"/>
      <c r="K48" s="278" t="s">
        <v>207</v>
      </c>
      <c r="L48" s="278" t="s">
        <v>128</v>
      </c>
      <c r="Q48" s="276" t="s">
        <v>22</v>
      </c>
      <c r="R48" s="277" t="s">
        <v>23</v>
      </c>
      <c r="S48" s="277" t="s">
        <v>24</v>
      </c>
      <c r="U48" s="216" t="s">
        <v>22</v>
      </c>
      <c r="V48" s="217" t="s">
        <v>23</v>
      </c>
      <c r="W48" s="217" t="s">
        <v>24</v>
      </c>
      <c r="Y48" s="216" t="s">
        <v>22</v>
      </c>
      <c r="Z48" s="217" t="s">
        <v>23</v>
      </c>
      <c r="AA48" s="217" t="s">
        <v>24</v>
      </c>
      <c r="AC48" t="s">
        <v>126</v>
      </c>
    </row>
    <row r="49" spans="1:31" ht="15.75" thickTop="1">
      <c r="A49" s="284" t="str">
        <f>C16</f>
        <v>21739S001</v>
      </c>
      <c r="B49" s="284"/>
      <c r="C49" s="284" t="str">
        <f>C18</f>
        <v>21739M001</v>
      </c>
      <c r="E49" s="3">
        <f>Q49/1000</f>
        <v>31.760572368477632</v>
      </c>
      <c r="F49" s="3">
        <f>R49/1000</f>
        <v>-22.517362611001573</v>
      </c>
      <c r="G49" s="3">
        <f>S49/1000</f>
        <v>66.556225364816669</v>
      </c>
      <c r="I49" s="280">
        <f>I8</f>
        <v>7336</v>
      </c>
      <c r="J49" s="281"/>
      <c r="K49" s="280">
        <f>I10</f>
        <v>7337</v>
      </c>
      <c r="L49" s="280" t="s">
        <v>194</v>
      </c>
      <c r="Q49" s="275">
        <f>(Q8-Q10)*1000</f>
        <v>31760.572368477631</v>
      </c>
      <c r="R49" s="275">
        <f>(R8-R10)*1000</f>
        <v>-22517.362611001572</v>
      </c>
      <c r="S49" s="275">
        <f>(S8-S10)*1000</f>
        <v>66556.225364816666</v>
      </c>
      <c r="U49" s="1">
        <f>E49-Q49</f>
        <v>-31728.811796109152</v>
      </c>
      <c r="V49" s="1">
        <f>F49-R49</f>
        <v>22494.845248390571</v>
      </c>
      <c r="W49" s="1">
        <f>G49-S49</f>
        <v>-66489.669139451857</v>
      </c>
      <c r="Y49" s="1">
        <f>Q49-Q$69</f>
        <v>-0.67039615881003556</v>
      </c>
      <c r="Z49" s="1">
        <f>R49-R$69</f>
        <v>-5.2039989979493839</v>
      </c>
      <c r="AA49" s="1">
        <f>S49-S$69</f>
        <v>6.3054709174757591</v>
      </c>
      <c r="AC49" s="1">
        <f>_xlfn.STDEV.P(Y49:Y51)</f>
        <v>2.3942846178642867</v>
      </c>
      <c r="AD49" s="1">
        <f>_xlfn.STDEV.P(Z49:Z51)</f>
        <v>0.19684261712245643</v>
      </c>
      <c r="AE49" s="1">
        <f>_xlfn.STDEV.P(AA49:AA51)</f>
        <v>5.0528362533327709</v>
      </c>
    </row>
    <row r="50" spans="1:31">
      <c r="A50" s="285"/>
      <c r="B50" s="285"/>
      <c r="C50" s="285"/>
      <c r="D50" s="53"/>
      <c r="E50" s="181">
        <f>SQRT(E9^2+E11^2+F47^2)/1000</f>
        <v>2.9107728924362229E-3</v>
      </c>
      <c r="F50" s="181">
        <f>SQRT(F9^2+F11^2+G47^2)/1000</f>
        <v>8.7678219411414728E-4</v>
      </c>
      <c r="G50" s="181">
        <f>SQRT(G9^2+G11^2+H47^2)/1000</f>
        <v>5.0893176559332551E-3</v>
      </c>
      <c r="H50" s="53"/>
      <c r="I50" s="305"/>
      <c r="J50" s="283"/>
      <c r="K50" s="282"/>
      <c r="L50" s="282"/>
      <c r="Q50" s="274">
        <f>E50</f>
        <v>2.9107728924362229E-3</v>
      </c>
      <c r="R50" s="274">
        <f>F50</f>
        <v>8.7678219411414728E-4</v>
      </c>
      <c r="S50" s="274">
        <f>G50</f>
        <v>5.0893176559332551E-3</v>
      </c>
    </row>
    <row r="51" spans="1:31">
      <c r="A51" s="284" t="str">
        <f>C12</f>
        <v>MIUL</v>
      </c>
      <c r="B51" s="284"/>
      <c r="C51" s="284" t="str">
        <f>C18</f>
        <v>21739M001</v>
      </c>
      <c r="E51" s="3">
        <f>Q51/1000</f>
        <v>-10.178908400656084</v>
      </c>
      <c r="F51" s="3">
        <f>R51/1000</f>
        <v>-8.6869157376594188</v>
      </c>
      <c r="G51" s="3">
        <f>S51/1000</f>
        <v>4.6828236421530676</v>
      </c>
      <c r="H51" s="1">
        <f t="shared" ref="H51" si="1">(H12-H10)*1000</f>
        <v>0</v>
      </c>
      <c r="I51" s="306" t="str">
        <f>I12</f>
        <v>MIUL</v>
      </c>
      <c r="J51" s="281"/>
      <c r="K51" s="280">
        <f>I10</f>
        <v>7337</v>
      </c>
      <c r="L51" s="280" t="s">
        <v>194</v>
      </c>
      <c r="N51" t="s">
        <v>196</v>
      </c>
      <c r="Q51" s="275">
        <f>(Q12-Q10)*1000</f>
        <v>-10178.908400656084</v>
      </c>
      <c r="R51" s="275">
        <f>(R12-R10)*1000</f>
        <v>-8686.9157376594194</v>
      </c>
      <c r="S51" s="275">
        <f>(S12-S10)*1000</f>
        <v>4682.8236421530673</v>
      </c>
      <c r="U51" s="1">
        <f>E51-Q51</f>
        <v>10168.729492255428</v>
      </c>
      <c r="V51" s="1">
        <f>F51-R51</f>
        <v>8678.2288219217608</v>
      </c>
      <c r="W51" s="1">
        <f>G51-S51</f>
        <v>-4678.140818510914</v>
      </c>
      <c r="Y51" s="1">
        <f>Q51-Q71</f>
        <v>4.1181730769185378</v>
      </c>
      <c r="Z51" s="1">
        <f>R51-R71</f>
        <v>-4.8103137637044711</v>
      </c>
      <c r="AA51" s="1">
        <f>S51-S71</f>
        <v>-3.8002015891897827</v>
      </c>
    </row>
    <row r="52" spans="1:31">
      <c r="A52" s="285"/>
      <c r="B52" s="285"/>
      <c r="C52" s="285"/>
      <c r="D52" s="53"/>
      <c r="E52" s="181">
        <f>SQRT(E11^2+E13^2+F47^2)/1000</f>
        <v>2.8271184678646793E-3</v>
      </c>
      <c r="F52" s="181">
        <f>SQRT(F11^2+F13^2+G47^2)/1000</f>
        <v>3.7248760504964191E-4</v>
      </c>
      <c r="G52" s="181">
        <f>SQRT(G11^2+G13^2+H47^2)/1000</f>
        <v>5.0548149523987479E-3</v>
      </c>
      <c r="H52" s="53"/>
      <c r="I52" s="282"/>
      <c r="J52" s="283"/>
      <c r="K52" s="282"/>
      <c r="L52" s="282"/>
      <c r="Q52" s="274">
        <f>E52</f>
        <v>2.8271184678646793E-3</v>
      </c>
      <c r="R52" s="274">
        <f>F52</f>
        <v>3.7248760504964191E-4</v>
      </c>
      <c r="S52" s="274">
        <f>G52</f>
        <v>5.0548149523987479E-3</v>
      </c>
    </row>
    <row r="53" spans="1:31">
      <c r="E53" s="3"/>
      <c r="F53" s="3"/>
      <c r="G53" s="3"/>
    </row>
    <row r="54" spans="1:31">
      <c r="E54" s="14" t="s">
        <v>241</v>
      </c>
      <c r="F54" s="14">
        <v>1.1519105847582978</v>
      </c>
      <c r="G54" s="14">
        <v>0.32237773468023079</v>
      </c>
      <c r="H54" s="6">
        <v>2.9697095172282388</v>
      </c>
    </row>
    <row r="55" spans="1:31">
      <c r="A55" s="284" t="str">
        <f>C16</f>
        <v>21739S001</v>
      </c>
      <c r="B55" s="284"/>
      <c r="C55" s="284" t="str">
        <f>C18</f>
        <v>21739M001</v>
      </c>
      <c r="E55" s="3">
        <f>Q55/1000</f>
        <v>31.761446484113172</v>
      </c>
      <c r="F55" s="3">
        <f>R55/1000</f>
        <v>-22.515480840641597</v>
      </c>
      <c r="G55" s="3">
        <f>S55/1000</f>
        <v>66.55318811899437</v>
      </c>
      <c r="I55" s="280">
        <f>I16</f>
        <v>7336</v>
      </c>
      <c r="J55" s="281"/>
      <c r="K55" s="280">
        <f>I18</f>
        <v>7337</v>
      </c>
      <c r="L55" s="280" t="s">
        <v>197</v>
      </c>
      <c r="Q55" s="275">
        <f>(Q16-Q18)*1000</f>
        <v>31761.44648411317</v>
      </c>
      <c r="R55" s="275">
        <f>(R16-R18)*1000</f>
        <v>-22515.480840641598</v>
      </c>
      <c r="S55" s="275">
        <f>(S16-S18)*1000</f>
        <v>66553.188118994367</v>
      </c>
      <c r="U55" s="1">
        <f>E55-Q55</f>
        <v>-31729.685037629057</v>
      </c>
      <c r="V55" s="1">
        <f>F55-R55</f>
        <v>22492.965359800957</v>
      </c>
      <c r="W55" s="1">
        <f>G55-S55</f>
        <v>-66486.634930875371</v>
      </c>
      <c r="Y55" s="1">
        <f>Q55-Q69</f>
        <v>0.20371947672902024</v>
      </c>
      <c r="Z55" s="1">
        <f>R55-R69</f>
        <v>-3.3222286379750585</v>
      </c>
      <c r="AA55" s="1">
        <f>S55-S69</f>
        <v>3.2682250951766036</v>
      </c>
      <c r="AC55" s="1">
        <f>_xlfn.STDEV.P(Y55,Y57)</f>
        <v>1.1519105847582978</v>
      </c>
      <c r="AD55" s="1">
        <f>_xlfn.STDEV.P(Z55,Z57)</f>
        <v>0.32237773468023079</v>
      </c>
      <c r="AE55" s="1">
        <f>_xlfn.STDEV.P(AA55,AA57)</f>
        <v>2.9697095172282388</v>
      </c>
    </row>
    <row r="56" spans="1:31">
      <c r="A56" s="285"/>
      <c r="B56" s="285"/>
      <c r="C56" s="285"/>
      <c r="D56" s="53"/>
      <c r="E56" s="181">
        <f>SQRT(E19^2+E17^2+F$54^2)/1000</f>
        <v>2.0166551503115757E-3</v>
      </c>
      <c r="F56" s="181">
        <f>SQRT(F19^2+F17^2+G$54^2)/1000</f>
        <v>9.1319625701026465E-4</v>
      </c>
      <c r="G56" s="181">
        <f>SQRT(G19^2+G17^2+H$54^2)/1000</f>
        <v>3.0313651407766731E-3</v>
      </c>
      <c r="H56" s="53"/>
      <c r="I56" s="282"/>
      <c r="J56" s="283"/>
      <c r="K56" s="282"/>
      <c r="L56" s="282"/>
      <c r="Q56" s="274">
        <f>E56</f>
        <v>2.0166551503115757E-3</v>
      </c>
      <c r="R56" s="274">
        <f>F56</f>
        <v>9.1319625701026465E-4</v>
      </c>
      <c r="S56" s="274">
        <f>G56</f>
        <v>3.0313651407766731E-3</v>
      </c>
    </row>
    <row r="57" spans="1:31">
      <c r="A57" s="284" t="str">
        <f>C20</f>
        <v>MIUL</v>
      </c>
      <c r="B57" s="284"/>
      <c r="C57" s="284" t="str">
        <f>C18</f>
        <v>21739M001</v>
      </c>
      <c r="E57" s="3">
        <f>Q57/1000</f>
        <v>-10.180519033086757</v>
      </c>
      <c r="F57" s="3">
        <f>R57/1000</f>
        <v>-8.6860724080030511</v>
      </c>
      <c r="G57" s="3">
        <f>S57/1000</f>
        <v>4.6839526498029773</v>
      </c>
      <c r="I57" s="280" t="str">
        <f>I20</f>
        <v>MIUL</v>
      </c>
      <c r="J57" s="281"/>
      <c r="K57" s="280">
        <f>I18</f>
        <v>7337</v>
      </c>
      <c r="L57" s="280" t="s">
        <v>197</v>
      </c>
      <c r="N57" t="s">
        <v>196</v>
      </c>
      <c r="Q57" s="275">
        <f>(Q20-Q18)*1000</f>
        <v>-10180.519033086757</v>
      </c>
      <c r="R57" s="275">
        <f>(R20-R18)*1000</f>
        <v>-8686.0724080030504</v>
      </c>
      <c r="S57" s="275">
        <f>(S20-S18)*1000</f>
        <v>4683.9526498029772</v>
      </c>
      <c r="U57" s="1">
        <f>E57-Q57</f>
        <v>10170.33851405367</v>
      </c>
      <c r="V57" s="1">
        <f>F57-R57</f>
        <v>8677.3863355950471</v>
      </c>
      <c r="W57" s="1">
        <f>G57-S57</f>
        <v>-4679.2686971531739</v>
      </c>
      <c r="Y57" s="1">
        <f>Q57-Q71</f>
        <v>2.5075406462456158</v>
      </c>
      <c r="Z57" s="1">
        <f>R57-R71</f>
        <v>-3.9669841073355201</v>
      </c>
      <c r="AA57" s="1">
        <f>S57-S71</f>
        <v>-2.671193939279874</v>
      </c>
    </row>
    <row r="58" spans="1:31">
      <c r="A58" s="285"/>
      <c r="B58" s="285"/>
      <c r="C58" s="285"/>
      <c r="D58" s="53"/>
      <c r="E58" s="181">
        <f>SQRT(E21^2+E19^2+F$54^2)/1000</f>
        <v>1.8939107675068018E-3</v>
      </c>
      <c r="F58" s="181">
        <f>SQRT(F21^2+F19^2+G$54^2)/1000</f>
        <v>4.5158321914964605E-4</v>
      </c>
      <c r="G58" s="181">
        <f>SQRT(G21^2+G19^2+H$54^2)/1000</f>
        <v>2.9730749430036201E-3</v>
      </c>
      <c r="H58" s="53"/>
      <c r="I58" s="282"/>
      <c r="J58" s="283"/>
      <c r="K58" s="282"/>
      <c r="L58" s="282"/>
      <c r="Q58" s="274">
        <f>E58</f>
        <v>1.8939107675068018E-3</v>
      </c>
      <c r="R58" s="274">
        <f>F58</f>
        <v>4.5158321914964605E-4</v>
      </c>
      <c r="S58" s="274">
        <f>G58</f>
        <v>2.9730749430036201E-3</v>
      </c>
    </row>
    <row r="59" spans="1:31">
      <c r="E59" s="3"/>
      <c r="F59" s="3"/>
      <c r="G59" s="3"/>
    </row>
    <row r="60" spans="1:31">
      <c r="E60" s="14" t="s">
        <v>241</v>
      </c>
      <c r="F60" s="14">
        <v>0.26440517906758032</v>
      </c>
      <c r="G60" s="14">
        <v>0.88060266635784479</v>
      </c>
      <c r="H60" s="6">
        <v>1.7683689805098766</v>
      </c>
    </row>
    <row r="61" spans="1:31">
      <c r="A61" s="284" t="str">
        <f>C24</f>
        <v>21704S004</v>
      </c>
      <c r="B61" s="284"/>
      <c r="C61" s="284" t="str">
        <f>C26</f>
        <v>21704M001</v>
      </c>
      <c r="E61" s="3">
        <f>Q61/1000</f>
        <v>31.761057817180031</v>
      </c>
      <c r="F61" s="3">
        <f>R61/1000</f>
        <v>-22.512657647334006</v>
      </c>
      <c r="G61" s="3">
        <f>S61/1000</f>
        <v>66.552606296360381</v>
      </c>
      <c r="I61" s="280">
        <f>I24</f>
        <v>7336</v>
      </c>
      <c r="J61" s="281"/>
      <c r="K61" s="280">
        <f>I26</f>
        <v>7337</v>
      </c>
      <c r="L61" s="280" t="s">
        <v>198</v>
      </c>
      <c r="Q61" s="275">
        <f>(Q24-Q26)*1000</f>
        <v>31761.05781718003</v>
      </c>
      <c r="R61" s="275">
        <f>(R24-R26)*1000</f>
        <v>-22512.657647334006</v>
      </c>
      <c r="S61" s="275">
        <f>(S24-S26)*1000</f>
        <v>66552.606296360376</v>
      </c>
      <c r="U61" s="1">
        <f>E61-Q61</f>
        <v>-31729.296759362849</v>
      </c>
      <c r="V61" s="1">
        <f>F61-R61</f>
        <v>22490.144989686672</v>
      </c>
      <c r="W61" s="1">
        <f>G61-S61</f>
        <v>-66486.053690064015</v>
      </c>
      <c r="Y61" s="1">
        <f>Q61-Q69</f>
        <v>-0.18494745641146437</v>
      </c>
      <c r="Z61" s="1">
        <f>R61-R69</f>
        <v>-0.49903533038377645</v>
      </c>
      <c r="AA61" s="1">
        <f>S61-S69</f>
        <v>2.686402461185935</v>
      </c>
      <c r="AC61" s="1">
        <f>_xlfn.STDEV.P(Y61,Y65)</f>
        <v>0.26440517906758032</v>
      </c>
      <c r="AD61" s="1">
        <f>_xlfn.STDEV.P(Z61,Z65)</f>
        <v>0.88060266635784479</v>
      </c>
      <c r="AE61" s="1">
        <f>_xlfn.STDEV.P(AA61,AA65)</f>
        <v>1.7683689805098766</v>
      </c>
    </row>
    <row r="62" spans="1:31">
      <c r="A62" s="285"/>
      <c r="B62" s="285"/>
      <c r="C62" s="285"/>
      <c r="D62" s="53"/>
      <c r="E62" s="181">
        <f>SQRT(E25^2+E27^2+F$47^2)/1000</f>
        <v>2.9107728924362229E-3</v>
      </c>
      <c r="F62" s="181">
        <f>SQRT(F25^2+F27^2+G$47^2)/1000</f>
        <v>8.7678219411414728E-4</v>
      </c>
      <c r="G62" s="181">
        <f>SQRT(G25^2+G27^2+H$47^2)/1000</f>
        <v>5.0893176559332551E-3</v>
      </c>
      <c r="H62" s="53"/>
      <c r="I62" s="282"/>
      <c r="J62" s="283"/>
      <c r="K62" s="282"/>
      <c r="L62" s="282"/>
      <c r="Q62" s="274">
        <f>E62</f>
        <v>2.9107728924362229E-3</v>
      </c>
      <c r="R62" s="274">
        <f>F62</f>
        <v>8.7678219411414728E-4</v>
      </c>
      <c r="S62" s="274">
        <f>G62</f>
        <v>5.0893176559332551E-3</v>
      </c>
    </row>
    <row r="63" spans="1:31">
      <c r="A63" s="284">
        <f>C28</f>
        <v>0</v>
      </c>
      <c r="B63" s="284"/>
      <c r="C63" s="284" t="str">
        <f>C26</f>
        <v>21704M001</v>
      </c>
      <c r="E63" s="3">
        <f>Q63/1000</f>
        <v>48.381280558533021</v>
      </c>
      <c r="F63" s="3">
        <f>R63/1000</f>
        <v>-14.280433103564341</v>
      </c>
      <c r="G63" s="3">
        <f>S63/1000</f>
        <v>69.16421005741131</v>
      </c>
      <c r="I63" s="280">
        <f>I28</f>
        <v>0</v>
      </c>
      <c r="J63" s="281"/>
      <c r="K63" s="280">
        <f>I26</f>
        <v>7337</v>
      </c>
      <c r="L63" s="280" t="s">
        <v>198</v>
      </c>
      <c r="N63" t="s">
        <v>196</v>
      </c>
      <c r="Q63" s="275">
        <f>(Q28-Q26)*1000</f>
        <v>48381.280558533021</v>
      </c>
      <c r="R63" s="275">
        <f>(R28-R26)*1000</f>
        <v>-14280.433103564341</v>
      </c>
      <c r="S63" s="275">
        <f>(S28-S26)*1000</f>
        <v>69164.210057411314</v>
      </c>
      <c r="U63" s="1">
        <f>E63-Q63</f>
        <v>-48332.899277974488</v>
      </c>
      <c r="V63" s="1">
        <f>F63-R63</f>
        <v>14266.152670460777</v>
      </c>
      <c r="W63" s="1">
        <f>G63-S63</f>
        <v>-69095.045847353904</v>
      </c>
      <c r="Y63" s="1"/>
      <c r="Z63" s="1"/>
      <c r="AA63" s="1"/>
    </row>
    <row r="64" spans="1:31">
      <c r="A64" s="285"/>
      <c r="B64" s="285"/>
      <c r="C64" s="285"/>
      <c r="D64" s="53"/>
      <c r="E64" s="181">
        <f>SQRT(E27^2+E29^2+F$60^2)/1000</f>
        <v>1.5231251093451776E-3</v>
      </c>
      <c r="F64" s="181">
        <f>SQRT(F27^2+F29^2+G$60^2)/1000</f>
        <v>9.3030159410620468E-4</v>
      </c>
      <c r="G64" s="181">
        <f>SQRT(G27^2+G29^2+H$60^2)/1000</f>
        <v>1.7711941878940153E-3</v>
      </c>
      <c r="H64" s="53"/>
      <c r="I64" s="282"/>
      <c r="J64" s="283"/>
      <c r="K64" s="282"/>
      <c r="L64" s="282"/>
      <c r="Q64" s="274">
        <f>E64</f>
        <v>1.5231251093451776E-3</v>
      </c>
      <c r="R64" s="274">
        <f>F64</f>
        <v>9.3030159410620468E-4</v>
      </c>
      <c r="S64" s="274">
        <f>G64</f>
        <v>1.7711941878940153E-3</v>
      </c>
    </row>
    <row r="65" spans="1:31">
      <c r="A65" s="284" t="str">
        <f>C30</f>
        <v>MIUL</v>
      </c>
      <c r="B65" s="284"/>
      <c r="C65" s="284" t="str">
        <f>C26</f>
        <v>21704M001</v>
      </c>
      <c r="E65" s="3">
        <f>Q65/1000</f>
        <v>-10.18268271083128</v>
      </c>
      <c r="F65" s="3">
        <f>R65/1000</f>
        <v>-8.6843656645588148</v>
      </c>
      <c r="G65" s="3">
        <f>S65/1000</f>
        <v>4.6857735082424234</v>
      </c>
      <c r="I65" s="280" t="str">
        <f>I30</f>
        <v>MIUL</v>
      </c>
      <c r="J65" s="281"/>
      <c r="K65" s="280">
        <f>I26</f>
        <v>7337</v>
      </c>
      <c r="L65" s="280" t="s">
        <v>198</v>
      </c>
      <c r="N65" t="s">
        <v>196</v>
      </c>
      <c r="Q65" s="275">
        <f>(Q30-Q26)*1000</f>
        <v>-10182.682710831279</v>
      </c>
      <c r="R65" s="275">
        <f>(R30-R26)*1000</f>
        <v>-8684.3656645588144</v>
      </c>
      <c r="S65" s="275">
        <f>(S30-S26)*1000</f>
        <v>4685.7735082424233</v>
      </c>
      <c r="U65" s="1">
        <f>E65-Q65</f>
        <v>10172.500028120448</v>
      </c>
      <c r="V65" s="1">
        <f>F65-R65</f>
        <v>8675.6812988942547</v>
      </c>
      <c r="W65" s="1">
        <f>G65-S65</f>
        <v>-4681.0877347341811</v>
      </c>
      <c r="Y65" s="1">
        <f>Q65-Q71</f>
        <v>0.34386290172369627</v>
      </c>
      <c r="Z65" s="1">
        <f>R65-R71</f>
        <v>-2.2602406630994665</v>
      </c>
      <c r="AA65" s="1">
        <f>S65-S71</f>
        <v>-0.85033549983381818</v>
      </c>
    </row>
    <row r="66" spans="1:31">
      <c r="A66" s="285"/>
      <c r="B66" s="285"/>
      <c r="C66" s="285"/>
      <c r="D66" s="53"/>
      <c r="E66" s="181">
        <f>SQRT(E31^2+E27^2+F$60^2)/1000</f>
        <v>2.1377348055167549E-3</v>
      </c>
      <c r="F66" s="181">
        <f>SQRT(F31^2+F27^2+G$60^2)/1000</f>
        <v>9.7747688258932532E-4</v>
      </c>
      <c r="G66" s="181">
        <f>SQRT(G31^2+G27^2+H$60^2)/1000</f>
        <v>1.7740148959999012E-3</v>
      </c>
      <c r="H66" s="53"/>
      <c r="I66" s="282"/>
      <c r="J66" s="283"/>
      <c r="K66" s="282"/>
      <c r="L66" s="282"/>
      <c r="Q66" s="274">
        <f>E66</f>
        <v>2.1377348055167549E-3</v>
      </c>
      <c r="R66" s="274">
        <f>F66</f>
        <v>9.7747688258932532E-4</v>
      </c>
      <c r="S66" s="274">
        <f>G66</f>
        <v>1.7740148959999012E-3</v>
      </c>
    </row>
    <row r="67" spans="1:31">
      <c r="E67" s="3"/>
      <c r="F67" s="3"/>
      <c r="G67" s="3"/>
    </row>
    <row r="68" spans="1:31">
      <c r="E68" s="14" t="s">
        <v>241</v>
      </c>
      <c r="F68" s="14">
        <v>0.26440517906758032</v>
      </c>
      <c r="G68" s="14">
        <v>0.88060266635784479</v>
      </c>
      <c r="H68" s="6">
        <v>1.7683689805098766</v>
      </c>
    </row>
    <row r="69" spans="1:31">
      <c r="A69" s="284" t="str">
        <f>C34</f>
        <v>21704S004</v>
      </c>
      <c r="B69" s="284"/>
      <c r="C69" s="284" t="str">
        <f>C36</f>
        <v>21704M001</v>
      </c>
      <c r="E69" s="3">
        <f>Q69/1000</f>
        <v>31.761242764636442</v>
      </c>
      <c r="F69" s="3">
        <f>R69/1000</f>
        <v>-22.512158612003624</v>
      </c>
      <c r="G69" s="3">
        <f>S69/1000</f>
        <v>66.549919893899187</v>
      </c>
      <c r="I69" s="280">
        <f>I34</f>
        <v>7336</v>
      </c>
      <c r="J69" s="281"/>
      <c r="K69" s="280">
        <f>I36</f>
        <v>7337</v>
      </c>
      <c r="L69" s="280" t="s">
        <v>199</v>
      </c>
      <c r="Q69" s="275">
        <f>(Q34-Q36)*1000</f>
        <v>31761.242764636441</v>
      </c>
      <c r="R69" s="275">
        <f>(R34-R36)*1000</f>
        <v>-22512.158612003623</v>
      </c>
      <c r="S69" s="275">
        <f>(S34-S36)*1000</f>
        <v>66549.91989389919</v>
      </c>
      <c r="U69" s="1">
        <f>E69-Q69</f>
        <v>-31729.481521871803</v>
      </c>
      <c r="V69" s="1">
        <f>F69-R69</f>
        <v>22489.646453391619</v>
      </c>
      <c r="W69" s="1">
        <f>G69-S69</f>
        <v>-66483.369974005298</v>
      </c>
      <c r="Y69" s="1"/>
      <c r="Z69" s="1"/>
      <c r="AA69" s="1"/>
      <c r="AC69" s="1"/>
      <c r="AD69" s="1"/>
      <c r="AE69" s="1"/>
    </row>
    <row r="70" spans="1:31">
      <c r="A70" s="285"/>
      <c r="B70" s="285"/>
      <c r="C70" s="285"/>
      <c r="D70" s="53"/>
      <c r="E70" s="181">
        <f>SQRT(E35^2+E37^2+F$68^2)/1000</f>
        <v>1.6762786459051963E-3</v>
      </c>
      <c r="F70" s="181">
        <f>SQRT(F35^2+F37^2+G$68^2)/1000</f>
        <v>1.2269723126446439E-3</v>
      </c>
      <c r="G70" s="181">
        <f>SQRT(G35^2+G37^2+H$68^2)/1000</f>
        <v>1.8700611891672263E-3</v>
      </c>
      <c r="H70" s="53"/>
      <c r="I70" s="282"/>
      <c r="J70" s="283"/>
      <c r="K70" s="282"/>
      <c r="L70" s="282"/>
      <c r="Q70" s="274">
        <f>E70</f>
        <v>1.6762786459051963E-3</v>
      </c>
      <c r="R70" s="274">
        <f>F70</f>
        <v>1.2269723126446439E-3</v>
      </c>
      <c r="S70" s="274">
        <f>G70</f>
        <v>1.8700611891672263E-3</v>
      </c>
    </row>
    <row r="71" spans="1:31">
      <c r="A71" s="284" t="str">
        <f>C38</f>
        <v>MIUL</v>
      </c>
      <c r="B71" s="284"/>
      <c r="C71" s="284" t="str">
        <f>C36</f>
        <v>21704M001</v>
      </c>
      <c r="E71" s="3">
        <f>Q71/1000</f>
        <v>-10.183026573733002</v>
      </c>
      <c r="F71" s="3">
        <f>R71/1000</f>
        <v>-8.6821054238957149</v>
      </c>
      <c r="G71" s="3">
        <f>S71/1000</f>
        <v>4.6866238437422574</v>
      </c>
      <c r="I71" s="280" t="str">
        <f>I38</f>
        <v>MIUL</v>
      </c>
      <c r="J71" s="281"/>
      <c r="K71" s="280">
        <f>I36</f>
        <v>7337</v>
      </c>
      <c r="L71" s="280" t="s">
        <v>199</v>
      </c>
      <c r="N71" t="s">
        <v>196</v>
      </c>
      <c r="Q71" s="275">
        <f>(Q38-Q36)*1000</f>
        <v>-10183.026573733003</v>
      </c>
      <c r="R71" s="275">
        <f>(R38-R36)*1000</f>
        <v>-8682.1054238957149</v>
      </c>
      <c r="S71" s="275">
        <f>(S38-S36)*1000</f>
        <v>4686.6238437422571</v>
      </c>
      <c r="U71" s="1">
        <f>E71-Q71</f>
        <v>10172.843547159269</v>
      </c>
      <c r="V71" s="1">
        <f>F71-R71</f>
        <v>8673.4233184718196</v>
      </c>
      <c r="W71" s="1">
        <f>G71-S71</f>
        <v>-4681.9372198985147</v>
      </c>
      <c r="Y71" s="1"/>
      <c r="Z71" s="1"/>
      <c r="AA71" s="1"/>
    </row>
    <row r="72" spans="1:31">
      <c r="A72" s="285"/>
      <c r="B72" s="285"/>
      <c r="C72" s="285"/>
      <c r="D72" s="53"/>
      <c r="E72" s="181">
        <f>SQRT(E39^2+E37^2+F$68^2)/1000</f>
        <v>2.1377348055167549E-3</v>
      </c>
      <c r="F72" s="181">
        <f>SQRT(F39^2+F37^2+G$68^2)/1000</f>
        <v>9.7747688258932532E-4</v>
      </c>
      <c r="G72" s="181">
        <f>SQRT(G39^2+G37^2+H$68^2)/1000</f>
        <v>1.7740148959999012E-3</v>
      </c>
      <c r="H72" s="53"/>
      <c r="I72" s="282"/>
      <c r="J72" s="283"/>
      <c r="K72" s="282"/>
      <c r="L72" s="282"/>
      <c r="Q72" s="274">
        <f>E72</f>
        <v>2.1377348055167549E-3</v>
      </c>
      <c r="R72" s="274">
        <f>F72</f>
        <v>9.7747688258932532E-4</v>
      </c>
      <c r="S72" s="274">
        <f>G72</f>
        <v>1.7740148959999012E-3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6AA15-1A75-446F-BA18-4054E6DC594D}">
  <dimension ref="A1:AH72"/>
  <sheetViews>
    <sheetView topLeftCell="A45" workbookViewId="0">
      <selection activeCell="I49" sqref="I49"/>
    </sheetView>
  </sheetViews>
  <sheetFormatPr defaultRowHeight="15"/>
  <cols>
    <col min="1" max="1" width="12" customWidth="1"/>
    <col min="2" max="2" width="4.28515625" customWidth="1"/>
    <col min="3" max="3" width="10.85546875" customWidth="1"/>
    <col min="4" max="4" width="8.5703125" customWidth="1"/>
    <col min="5" max="7" width="14.28515625" customWidth="1"/>
    <col min="9" max="9" width="9.140625" style="9"/>
  </cols>
  <sheetData>
    <row r="1" spans="1:34" ht="15.75" thickBot="1">
      <c r="C1" t="s">
        <v>178</v>
      </c>
      <c r="D1" t="s">
        <v>177</v>
      </c>
      <c r="E1" s="1"/>
      <c r="F1" s="1"/>
      <c r="G1" s="1"/>
      <c r="I1" s="200"/>
      <c r="J1" s="9"/>
      <c r="K1" s="200"/>
      <c r="L1" s="200"/>
      <c r="P1" s="249" t="s">
        <v>215</v>
      </c>
      <c r="W1" t="s">
        <v>216</v>
      </c>
      <c r="Y1" s="54" t="s">
        <v>217</v>
      </c>
      <c r="Z1" s="54" t="s">
        <v>218</v>
      </c>
      <c r="AA1" s="54"/>
      <c r="AF1" t="s">
        <v>223</v>
      </c>
    </row>
    <row r="2" spans="1:34">
      <c r="E2" s="1"/>
      <c r="F2" s="1"/>
      <c r="G2" s="1"/>
      <c r="I2" s="200"/>
      <c r="J2" s="9"/>
      <c r="K2" s="200"/>
      <c r="L2" s="200"/>
      <c r="P2" s="249"/>
      <c r="X2" s="2" t="s">
        <v>181</v>
      </c>
      <c r="Y2" s="2">
        <v>16.399999999999999</v>
      </c>
      <c r="Z2" s="2">
        <v>-24.3</v>
      </c>
      <c r="AA2" s="2" t="s">
        <v>219</v>
      </c>
      <c r="AB2" s="2">
        <f>RADIANS(Y2/3600)</f>
        <v>7.9509443701963883E-5</v>
      </c>
      <c r="AC2" s="2">
        <f>RADIANS(Z2/3600)</f>
        <v>-1.1780972450961724E-4</v>
      </c>
      <c r="AD2" s="2" t="s">
        <v>220</v>
      </c>
      <c r="AF2" s="17">
        <v>1</v>
      </c>
      <c r="AG2" s="18">
        <v>0</v>
      </c>
      <c r="AH2" s="19">
        <f>-AF4</f>
        <v>24.3</v>
      </c>
    </row>
    <row r="3" spans="1:34">
      <c r="E3" s="1"/>
      <c r="F3" s="1"/>
      <c r="G3" s="1"/>
      <c r="I3" s="200"/>
      <c r="J3" s="9"/>
      <c r="K3" s="200"/>
      <c r="L3" s="200"/>
      <c r="P3" s="249"/>
      <c r="X3" s="2" t="s">
        <v>260</v>
      </c>
      <c r="Y3" s="2">
        <v>11.4</v>
      </c>
      <c r="Z3" s="2">
        <v>-17.399999999999999</v>
      </c>
      <c r="AA3" s="2" t="s">
        <v>219</v>
      </c>
      <c r="AB3" s="2">
        <f t="shared" ref="AB3:AC5" si="0">RADIANS(Y3/3600)</f>
        <v>5.5268759646487099E-5</v>
      </c>
      <c r="AC3" s="2">
        <f t="shared" si="0"/>
        <v>-8.4357580513059246E-5</v>
      </c>
      <c r="AD3" s="2" t="s">
        <v>220</v>
      </c>
      <c r="AF3" s="20">
        <v>0</v>
      </c>
      <c r="AG3" s="2">
        <v>1</v>
      </c>
      <c r="AH3" s="21">
        <f>-AG4</f>
        <v>-16.399999999999999</v>
      </c>
    </row>
    <row r="4" spans="1:34" ht="15.75" thickBot="1">
      <c r="E4" s="1"/>
      <c r="F4" s="1"/>
      <c r="G4" s="1"/>
      <c r="I4" s="200"/>
      <c r="J4" s="9"/>
      <c r="K4" s="200"/>
      <c r="L4" s="200"/>
      <c r="P4" s="249"/>
      <c r="X4" s="2" t="s">
        <v>221</v>
      </c>
      <c r="Y4" s="2">
        <v>-1.9</v>
      </c>
      <c r="Z4" s="2">
        <v>-9.3000000000000007</v>
      </c>
      <c r="AA4" s="2" t="s">
        <v>219</v>
      </c>
      <c r="AB4" s="2">
        <f t="shared" si="0"/>
        <v>-9.2114599410811831E-6</v>
      </c>
      <c r="AC4" s="2">
        <f t="shared" si="0"/>
        <v>-4.5087672343186846E-5</v>
      </c>
      <c r="AD4" s="2" t="s">
        <v>220</v>
      </c>
      <c r="AF4" s="22">
        <f>Z2</f>
        <v>-24.3</v>
      </c>
      <c r="AG4" s="23">
        <f>Y2</f>
        <v>16.399999999999999</v>
      </c>
      <c r="AH4" s="24">
        <v>1</v>
      </c>
    </row>
    <row r="5" spans="1:34">
      <c r="C5" t="s">
        <v>180</v>
      </c>
      <c r="D5" t="s">
        <v>222</v>
      </c>
      <c r="E5" s="1"/>
      <c r="F5" s="1"/>
      <c r="G5" s="1"/>
      <c r="I5" s="200"/>
      <c r="J5" s="9"/>
      <c r="K5" s="200"/>
      <c r="L5" s="200"/>
      <c r="Q5" t="s">
        <v>213</v>
      </c>
      <c r="U5" t="s">
        <v>222</v>
      </c>
      <c r="X5" s="2" t="s">
        <v>222</v>
      </c>
      <c r="Y5" s="2">
        <v>-4.5</v>
      </c>
      <c r="Z5" s="2">
        <v>-13.6</v>
      </c>
      <c r="AA5" s="2" t="s">
        <v>219</v>
      </c>
      <c r="AB5" s="2">
        <f t="shared" si="0"/>
        <v>-2.1816615649929121E-5</v>
      </c>
      <c r="AC5" s="2">
        <f t="shared" si="0"/>
        <v>-6.5934660630896893E-5</v>
      </c>
      <c r="AD5" s="2" t="s">
        <v>220</v>
      </c>
    </row>
    <row r="6" spans="1:34">
      <c r="A6" s="2"/>
      <c r="B6" s="2"/>
      <c r="C6" s="2" t="s">
        <v>179</v>
      </c>
      <c r="D6" s="2"/>
      <c r="E6" s="6"/>
      <c r="F6" s="6"/>
      <c r="G6" s="6"/>
      <c r="H6" s="2"/>
      <c r="I6" s="201" t="s">
        <v>184</v>
      </c>
      <c r="J6" s="194"/>
      <c r="K6" s="201"/>
      <c r="L6" s="201"/>
    </row>
    <row r="7" spans="1:34" ht="15.75" thickBot="1">
      <c r="A7" s="60"/>
      <c r="B7" s="60"/>
      <c r="C7" s="60"/>
      <c r="D7" s="60"/>
      <c r="E7" s="216" t="s">
        <v>22</v>
      </c>
      <c r="F7" s="217" t="s">
        <v>23</v>
      </c>
      <c r="G7" s="217" t="s">
        <v>24</v>
      </c>
      <c r="H7" s="218"/>
      <c r="I7" s="219"/>
      <c r="J7" s="113"/>
      <c r="K7" s="219" t="s">
        <v>183</v>
      </c>
      <c r="L7" s="219" t="s">
        <v>182</v>
      </c>
      <c r="O7" t="s">
        <v>214</v>
      </c>
      <c r="P7" t="s">
        <v>207</v>
      </c>
      <c r="Q7" s="216" t="s">
        <v>22</v>
      </c>
      <c r="R7" s="217" t="s">
        <v>23</v>
      </c>
      <c r="S7" s="217" t="s">
        <v>24</v>
      </c>
      <c r="U7" s="219" t="s">
        <v>183</v>
      </c>
      <c r="V7" s="219" t="s">
        <v>182</v>
      </c>
    </row>
    <row r="8" spans="1:34" ht="15.75" thickTop="1">
      <c r="A8" s="56" t="s">
        <v>281</v>
      </c>
      <c r="B8" s="56"/>
      <c r="C8" s="233" t="s">
        <v>253</v>
      </c>
      <c r="D8" s="56"/>
      <c r="E8" s="50">
        <f>H11tat!R24</f>
        <v>-4000983.3788999999</v>
      </c>
      <c r="F8" s="50">
        <f>H11tat!S24</f>
        <v>3375275.9152000002</v>
      </c>
      <c r="G8" s="50">
        <f>H11tat!T24</f>
        <v>3632213.1770000001</v>
      </c>
      <c r="H8" s="56"/>
      <c r="I8" s="9">
        <v>7338</v>
      </c>
      <c r="J8" s="56"/>
      <c r="K8" s="56">
        <v>1996</v>
      </c>
      <c r="L8" s="56">
        <v>275</v>
      </c>
      <c r="N8" t="str">
        <f>A8</f>
        <v>Tat11-CP0</v>
      </c>
      <c r="O8" t="str">
        <f>C8</f>
        <v>21740S001</v>
      </c>
      <c r="P8" s="248">
        <f>I8</f>
        <v>7338</v>
      </c>
      <c r="Q8" s="250">
        <f>H11tat!AX13</f>
        <v>-28.790319540830261</v>
      </c>
      <c r="R8" s="250">
        <f>H11tat!AY13</f>
        <v>-41.907996888243794</v>
      </c>
      <c r="S8" s="250">
        <f>H11tat!AZ13</f>
        <v>14.283134500150741</v>
      </c>
      <c r="U8" s="248">
        <f>K8</f>
        <v>1996</v>
      </c>
      <c r="V8" s="248">
        <f>L8</f>
        <v>275</v>
      </c>
    </row>
    <row r="9" spans="1:34">
      <c r="A9" s="2"/>
      <c r="B9" s="2"/>
      <c r="C9" s="2"/>
      <c r="D9" s="2"/>
      <c r="E9" s="6">
        <v>0.4</v>
      </c>
      <c r="F9" s="6">
        <v>0.1</v>
      </c>
      <c r="G9" s="6">
        <v>0.1</v>
      </c>
      <c r="H9" s="2"/>
      <c r="I9" s="194"/>
      <c r="J9" s="2"/>
      <c r="K9" s="2"/>
      <c r="L9" s="2"/>
      <c r="N9" t="s">
        <v>185</v>
      </c>
    </row>
    <row r="10" spans="1:34">
      <c r="A10" s="14" t="s">
        <v>139</v>
      </c>
      <c r="B10" s="14"/>
      <c r="C10" s="233" t="s">
        <v>255</v>
      </c>
      <c r="D10" s="2"/>
      <c r="E10" s="124">
        <f>H11tat!R28</f>
        <v>-4000955.1743000001</v>
      </c>
      <c r="F10" s="124">
        <f>H11tat!S28</f>
        <v>3375310.3991</v>
      </c>
      <c r="G10" s="124">
        <f>H11tat!T28</f>
        <v>3632200.8346000002</v>
      </c>
      <c r="H10" s="2"/>
      <c r="I10" s="9">
        <v>7339</v>
      </c>
      <c r="J10" s="2"/>
      <c r="K10" s="2">
        <v>1996</v>
      </c>
      <c r="L10" s="2">
        <v>275</v>
      </c>
      <c r="N10" t="str">
        <f>A10</f>
        <v>SLR-S2(RT)</v>
      </c>
      <c r="O10" t="str">
        <f>C10</f>
        <v>21740M001</v>
      </c>
      <c r="P10" s="248">
        <f>I10</f>
        <v>7339</v>
      </c>
      <c r="Q10" s="250">
        <f>H11tat!AX12</f>
        <v>-0.58434506583804868</v>
      </c>
      <c r="R10" s="250">
        <f>H11tat!AY12</f>
        <v>-7.4257234988431273</v>
      </c>
      <c r="S10" s="250">
        <f>H11tat!AZ12</f>
        <v>1.9390962451291647</v>
      </c>
      <c r="U10" s="248">
        <f>K10</f>
        <v>1996</v>
      </c>
      <c r="V10" s="248">
        <f>L10</f>
        <v>275</v>
      </c>
    </row>
    <row r="11" spans="1:34">
      <c r="A11" s="2"/>
      <c r="B11" s="2"/>
      <c r="C11" s="2"/>
      <c r="D11" s="2"/>
      <c r="E11" s="2">
        <v>1.8</v>
      </c>
      <c r="F11" s="6">
        <v>1.9</v>
      </c>
      <c r="G11" s="6">
        <v>0.6</v>
      </c>
      <c r="H11" s="2"/>
      <c r="I11" s="194"/>
      <c r="J11" s="2"/>
      <c r="K11" s="2"/>
      <c r="L11" s="2"/>
      <c r="N11" t="s">
        <v>276</v>
      </c>
    </row>
    <row r="12" spans="1:34">
      <c r="A12" s="14" t="s">
        <v>32</v>
      </c>
      <c r="B12" s="2"/>
      <c r="C12" s="2" t="s">
        <v>280</v>
      </c>
      <c r="D12" s="2"/>
      <c r="E12" s="14">
        <f>H11tat!R26</f>
        <v>-4000964.7680000002</v>
      </c>
      <c r="F12" s="14">
        <f>H11tat!S26</f>
        <v>3375308.8969000001</v>
      </c>
      <c r="G12" s="14">
        <f>H11tat!T26</f>
        <v>3632199.5082999999</v>
      </c>
      <c r="H12" s="2"/>
      <c r="I12" s="2" t="s">
        <v>280</v>
      </c>
      <c r="J12" s="2"/>
      <c r="K12" s="2">
        <v>1996</v>
      </c>
      <c r="L12" s="2">
        <v>275</v>
      </c>
      <c r="N12" t="str">
        <f>A12</f>
        <v>SLR-CP0</v>
      </c>
      <c r="O12" t="str">
        <f>C12</f>
        <v>TATL</v>
      </c>
      <c r="P12" s="248" t="str">
        <f>I12</f>
        <v>TATL</v>
      </c>
      <c r="Q12" s="250">
        <f>H11tat!AX10</f>
        <v>-10.178246436118535</v>
      </c>
      <c r="R12" s="250">
        <f>H11tat!AY10</f>
        <v>-8.9274315899679326</v>
      </c>
      <c r="S12" s="250">
        <f>H11tat!AZ10</f>
        <v>0.6130998663286783</v>
      </c>
      <c r="U12" s="248">
        <f>K12</f>
        <v>1996</v>
      </c>
      <c r="V12" s="248">
        <f>L12</f>
        <v>275</v>
      </c>
    </row>
    <row r="13" spans="1:34">
      <c r="A13" s="2"/>
      <c r="B13" s="2"/>
      <c r="C13" s="2"/>
      <c r="D13" s="2"/>
      <c r="E13" s="6">
        <v>0.2</v>
      </c>
      <c r="F13" s="6">
        <v>0.2</v>
      </c>
      <c r="G13" s="6">
        <v>0.2</v>
      </c>
      <c r="H13" s="2"/>
      <c r="I13" s="194"/>
      <c r="J13" s="2"/>
      <c r="K13" s="2"/>
      <c r="L13" s="2"/>
      <c r="N13" t="s">
        <v>277</v>
      </c>
    </row>
    <row r="15" spans="1:34" ht="15.75" thickBot="1">
      <c r="Q15" s="216" t="s">
        <v>22</v>
      </c>
      <c r="R15" s="217" t="s">
        <v>23</v>
      </c>
      <c r="S15" s="217" t="s">
        <v>24</v>
      </c>
    </row>
    <row r="16" spans="1:34" ht="15.75" thickTop="1">
      <c r="A16" s="56" t="str">
        <f>A8</f>
        <v>Tat11-CP0</v>
      </c>
      <c r="B16" s="56"/>
      <c r="C16" s="233" t="s">
        <v>253</v>
      </c>
      <c r="D16" s="56"/>
      <c r="E16" s="14">
        <f>H11tat!N24</f>
        <v>-4000983.3766999999</v>
      </c>
      <c r="F16" s="14">
        <f>H11tat!O24</f>
        <v>3375275.9158000001</v>
      </c>
      <c r="G16" s="14">
        <f>H11tat!P24</f>
        <v>3632213.1754000001</v>
      </c>
      <c r="H16" s="56"/>
      <c r="I16" s="9">
        <v>7338</v>
      </c>
      <c r="J16" s="56"/>
      <c r="K16" s="56">
        <v>1997</v>
      </c>
      <c r="L16" s="56">
        <v>275</v>
      </c>
      <c r="N16" t="str">
        <f>A16</f>
        <v>Tat11-CP0</v>
      </c>
      <c r="O16" t="str">
        <f>C16</f>
        <v>21740S001</v>
      </c>
      <c r="P16" s="248">
        <f>I16</f>
        <v>7338</v>
      </c>
      <c r="Q16" s="250">
        <f>H11tat!AT13</f>
        <v>-28.788103870821782</v>
      </c>
      <c r="R16" s="250">
        <f>H11tat!AU13</f>
        <v>-41.907380445971384</v>
      </c>
      <c r="S16" s="250">
        <f>H11tat!AV13</f>
        <v>14.28149718363577</v>
      </c>
      <c r="U16" s="248">
        <f>K16</f>
        <v>1997</v>
      </c>
      <c r="V16" s="248">
        <f>L16</f>
        <v>275</v>
      </c>
    </row>
    <row r="17" spans="1:22">
      <c r="A17" s="2"/>
      <c r="B17" s="2"/>
      <c r="C17" s="2"/>
      <c r="D17" s="2"/>
      <c r="E17" s="6">
        <v>0.4</v>
      </c>
      <c r="F17" s="6">
        <v>0.1</v>
      </c>
      <c r="G17" s="6">
        <v>0.1</v>
      </c>
      <c r="H17" s="2"/>
      <c r="I17" s="194"/>
      <c r="J17" s="2"/>
      <c r="K17" s="2"/>
      <c r="L17" s="2"/>
      <c r="N17" t="s">
        <v>185</v>
      </c>
    </row>
    <row r="18" spans="1:22">
      <c r="A18" s="14" t="s">
        <v>139</v>
      </c>
      <c r="B18" s="14"/>
      <c r="C18" s="233" t="s">
        <v>255</v>
      </c>
      <c r="D18" s="2"/>
      <c r="E18" s="124">
        <f>H11tat!N28</f>
        <v>-4000955.1741999998</v>
      </c>
      <c r="F18" s="124">
        <f>H11tat!O28</f>
        <v>3375310.3997999998</v>
      </c>
      <c r="G18" s="124">
        <f>H11tat!P28</f>
        <v>3632200.8344000001</v>
      </c>
      <c r="H18" s="2"/>
      <c r="I18" s="9">
        <v>7339</v>
      </c>
      <c r="J18" s="2"/>
      <c r="K18" s="56">
        <v>1997</v>
      </c>
      <c r="L18" s="2">
        <v>275</v>
      </c>
      <c r="N18" t="str">
        <f>A18</f>
        <v>SLR-S2(RT)</v>
      </c>
      <c r="O18" t="str">
        <f>C18</f>
        <v>21740M001</v>
      </c>
      <c r="P18" s="248">
        <f>I18</f>
        <v>7339</v>
      </c>
      <c r="Q18" s="250">
        <f>H11tat!AT12</f>
        <v>-0.58432303761478677</v>
      </c>
      <c r="R18" s="250">
        <f>H11tat!AU12</f>
        <v>-7.4250879047891001</v>
      </c>
      <c r="S18" s="250">
        <f>H11tat!AV12</f>
        <v>1.9388828559151805</v>
      </c>
      <c r="U18" s="248">
        <f>K18</f>
        <v>1997</v>
      </c>
      <c r="V18" s="248">
        <f>L18</f>
        <v>275</v>
      </c>
    </row>
    <row r="19" spans="1:22">
      <c r="A19" s="2"/>
      <c r="B19" s="2"/>
      <c r="C19" s="2"/>
      <c r="D19" s="2"/>
      <c r="E19" s="2">
        <v>1.5</v>
      </c>
      <c r="F19" s="6">
        <v>1.9</v>
      </c>
      <c r="G19" s="6">
        <v>0.8</v>
      </c>
      <c r="H19" s="2"/>
      <c r="I19" s="194"/>
      <c r="J19" s="2"/>
      <c r="K19" s="2"/>
      <c r="L19" s="2"/>
      <c r="N19" t="s">
        <v>276</v>
      </c>
    </row>
    <row r="20" spans="1:22">
      <c r="A20" s="14" t="s">
        <v>32</v>
      </c>
      <c r="B20" s="2"/>
      <c r="C20" s="2" t="s">
        <v>280</v>
      </c>
      <c r="D20" s="2"/>
      <c r="E20" s="14">
        <f>H11tat!N26</f>
        <v>-4000964.7645</v>
      </c>
      <c r="F20" s="14">
        <f>H11tat!O26</f>
        <v>3375308.9027</v>
      </c>
      <c r="G20" s="14">
        <f>H11tat!P26</f>
        <v>3632199.5063</v>
      </c>
      <c r="H20" s="2"/>
      <c r="I20" s="2" t="s">
        <v>280</v>
      </c>
      <c r="J20" s="2"/>
      <c r="K20" s="56">
        <v>1997</v>
      </c>
      <c r="L20" s="2">
        <v>275</v>
      </c>
      <c r="N20" t="str">
        <f>A20</f>
        <v>SLR-CP0</v>
      </c>
      <c r="O20" t="str">
        <f>C20</f>
        <v>TATL</v>
      </c>
      <c r="P20" s="248" t="str">
        <f>I20</f>
        <v>TATL</v>
      </c>
      <c r="Q20" s="250">
        <f>H11tat!AT10</f>
        <v>-10.174765427150207</v>
      </c>
      <c r="R20" s="250">
        <f>H11tat!AU10</f>
        <v>-8.9217333652135054</v>
      </c>
      <c r="S20" s="250">
        <f>H11tat!AV10</f>
        <v>0.6111243128971604</v>
      </c>
      <c r="U20" s="248">
        <f>K20</f>
        <v>1997</v>
      </c>
      <c r="V20" s="248">
        <f>L20</f>
        <v>275</v>
      </c>
    </row>
    <row r="21" spans="1:22">
      <c r="A21" s="2"/>
      <c r="B21" s="2"/>
      <c r="C21" s="2"/>
      <c r="D21" s="2"/>
      <c r="E21" s="6">
        <v>0.2</v>
      </c>
      <c r="F21" s="6">
        <v>0.2</v>
      </c>
      <c r="G21" s="6">
        <v>0.2</v>
      </c>
      <c r="H21" s="2"/>
      <c r="I21" s="194"/>
      <c r="J21" s="2"/>
      <c r="K21" s="2"/>
      <c r="L21" s="2"/>
      <c r="N21" t="s">
        <v>277</v>
      </c>
    </row>
    <row r="23" spans="1:22" ht="15.75" thickBot="1">
      <c r="Q23" s="216" t="s">
        <v>22</v>
      </c>
      <c r="R23" s="217" t="s">
        <v>23</v>
      </c>
      <c r="S23" s="217" t="s">
        <v>24</v>
      </c>
    </row>
    <row r="24" spans="1:22" ht="15.75" thickTop="1">
      <c r="A24" s="56" t="str">
        <f>A8</f>
        <v>Tat11-CP0</v>
      </c>
      <c r="B24" s="56"/>
      <c r="C24" s="233" t="s">
        <v>253</v>
      </c>
      <c r="D24" s="56"/>
      <c r="E24" s="14">
        <f>H11tat!J24</f>
        <v>-4000983.3768000002</v>
      </c>
      <c r="F24" s="14">
        <f>H11tat!K24</f>
        <v>3375275.9150999999</v>
      </c>
      <c r="G24" s="14">
        <f>H11tat!L24</f>
        <v>3632213.1751000001</v>
      </c>
      <c r="H24" s="56"/>
      <c r="I24" s="9">
        <v>7338</v>
      </c>
      <c r="J24" s="56"/>
      <c r="K24" s="56">
        <v>1998</v>
      </c>
      <c r="L24" s="56">
        <v>275</v>
      </c>
      <c r="N24" t="str">
        <f>A24</f>
        <v>Tat11-CP0</v>
      </c>
      <c r="O24" t="str">
        <f>C24</f>
        <v>21740S001</v>
      </c>
      <c r="P24" s="248">
        <f>I24</f>
        <v>7338</v>
      </c>
      <c r="Q24" s="250">
        <f>H11tat!AP13</f>
        <v>-28.78817751451329</v>
      </c>
      <c r="R24" s="250">
        <f>H11tat!AQ13</f>
        <v>-41.90810335387819</v>
      </c>
      <c r="S24" s="250">
        <f>H11tat!AR13</f>
        <v>14.281210860797451</v>
      </c>
      <c r="U24" s="248">
        <f>K24</f>
        <v>1998</v>
      </c>
      <c r="V24" s="248">
        <f>L24</f>
        <v>275</v>
      </c>
    </row>
    <row r="25" spans="1:22">
      <c r="A25" s="2"/>
      <c r="B25" s="2"/>
      <c r="C25" s="2"/>
      <c r="D25" s="2"/>
      <c r="E25" s="6">
        <v>0.4</v>
      </c>
      <c r="F25" s="6">
        <v>0.1</v>
      </c>
      <c r="G25" s="6">
        <v>0.1</v>
      </c>
      <c r="H25" s="2"/>
      <c r="I25" s="194"/>
      <c r="J25" s="2"/>
      <c r="K25" s="2"/>
      <c r="L25" s="2"/>
      <c r="N25" t="s">
        <v>185</v>
      </c>
    </row>
    <row r="26" spans="1:22">
      <c r="A26" s="14" t="s">
        <v>139</v>
      </c>
      <c r="B26" s="14"/>
      <c r="C26" s="233" t="s">
        <v>255</v>
      </c>
      <c r="D26" s="2"/>
      <c r="E26" s="124">
        <f>H11tat!J28</f>
        <v>-4000955.1743000001</v>
      </c>
      <c r="F26" s="124">
        <f>H11tat!K28</f>
        <v>3375310.4001000002</v>
      </c>
      <c r="G26" s="124">
        <f>H11tat!L28</f>
        <v>3632200.8343000002</v>
      </c>
      <c r="H26" s="2"/>
      <c r="I26" s="9">
        <v>7339</v>
      </c>
      <c r="J26" s="2"/>
      <c r="K26" s="56">
        <v>1998</v>
      </c>
      <c r="L26" s="2">
        <v>275</v>
      </c>
      <c r="N26" t="str">
        <f>A26</f>
        <v>SLR-S2(RT)</v>
      </c>
      <c r="O26" t="str">
        <f>C26</f>
        <v>21740M001</v>
      </c>
      <c r="P26" s="248">
        <f>I26</f>
        <v>7339</v>
      </c>
      <c r="Q26" s="250">
        <f>H11tat!AP12</f>
        <v>-0.58412826512334148</v>
      </c>
      <c r="R26" s="250">
        <f>H11tat!AQ12</f>
        <v>-7.4243363779709117</v>
      </c>
      <c r="S26" s="250">
        <f>H11tat!AR12</f>
        <v>1.9387514362823883</v>
      </c>
      <c r="U26" s="248">
        <f>K26</f>
        <v>1998</v>
      </c>
      <c r="V26" s="248">
        <f>L26</f>
        <v>275</v>
      </c>
    </row>
    <row r="27" spans="1:22">
      <c r="A27" s="2"/>
      <c r="B27" s="2"/>
      <c r="C27" s="2"/>
      <c r="D27" s="2"/>
      <c r="E27" s="2">
        <v>1.4</v>
      </c>
      <c r="F27" s="6">
        <v>1.7</v>
      </c>
      <c r="G27" s="6">
        <v>0.6</v>
      </c>
      <c r="H27" s="2"/>
      <c r="I27" s="194"/>
      <c r="J27" s="2"/>
      <c r="K27" s="2"/>
      <c r="L27" s="2"/>
      <c r="N27" t="s">
        <v>185</v>
      </c>
    </row>
    <row r="28" spans="1:22">
      <c r="A28" s="14" t="s">
        <v>1</v>
      </c>
      <c r="B28" s="2"/>
      <c r="C28" s="233" t="s">
        <v>254</v>
      </c>
      <c r="D28" s="2"/>
      <c r="E28" s="14">
        <f>H11tat!J22</f>
        <v>-4000969.8642000002</v>
      </c>
      <c r="F28" s="14">
        <f>H11tat!K22</f>
        <v>3375309.0153000001</v>
      </c>
      <c r="G28" s="14">
        <f>H11tat!L22</f>
        <v>3632196.8851999999</v>
      </c>
      <c r="H28" s="2"/>
      <c r="I28" s="194"/>
      <c r="J28" s="2"/>
      <c r="K28" s="56">
        <v>1998</v>
      </c>
      <c r="L28" s="2">
        <v>275</v>
      </c>
      <c r="N28" t="str">
        <f>A28</f>
        <v>SLR-PGPS</v>
      </c>
      <c r="O28" t="str">
        <f>C28</f>
        <v>21740S002</v>
      </c>
      <c r="P28" s="248">
        <f>I28</f>
        <v>0</v>
      </c>
      <c r="Q28" s="144">
        <f>H11tat!AP15</f>
        <v>-15.274473902348969</v>
      </c>
      <c r="R28" s="144">
        <f>H11tat!AQ15</f>
        <v>-8.8088452110267941</v>
      </c>
      <c r="S28" s="144">
        <f>H11tat!AR15</f>
        <v>-2.0097507589247798</v>
      </c>
      <c r="U28" s="248">
        <f>K28</f>
        <v>1998</v>
      </c>
      <c r="V28" s="248">
        <f>L28</f>
        <v>275</v>
      </c>
    </row>
    <row r="29" spans="1:22">
      <c r="A29" s="2"/>
      <c r="B29" s="2"/>
      <c r="C29" s="2"/>
      <c r="D29" s="2"/>
      <c r="E29" s="6">
        <v>0.2</v>
      </c>
      <c r="F29" s="6">
        <v>0.2</v>
      </c>
      <c r="G29" s="6">
        <v>0.2</v>
      </c>
      <c r="H29" s="2"/>
      <c r="I29" s="194"/>
      <c r="J29" s="2"/>
      <c r="K29" s="2"/>
      <c r="L29" s="2"/>
      <c r="N29" t="s">
        <v>185</v>
      </c>
    </row>
    <row r="30" spans="1:22">
      <c r="A30" s="14" t="s">
        <v>32</v>
      </c>
      <c r="B30" s="2"/>
      <c r="C30" s="2" t="s">
        <v>280</v>
      </c>
      <c r="D30" s="2"/>
      <c r="E30" s="14">
        <f>H11tat!J26</f>
        <v>-4000964.7669000002</v>
      </c>
      <c r="F30" s="14">
        <f>H11tat!K26</f>
        <v>3375308.9035999998</v>
      </c>
      <c r="G30" s="14">
        <f>H11tat!L26</f>
        <v>3632199.5087000001</v>
      </c>
      <c r="H30" s="2"/>
      <c r="I30" s="2" t="s">
        <v>280</v>
      </c>
      <c r="J30" s="2"/>
      <c r="K30" s="56">
        <v>1998</v>
      </c>
      <c r="L30" s="2">
        <v>275</v>
      </c>
      <c r="N30" t="str">
        <f>A30</f>
        <v>SLR-CP0</v>
      </c>
      <c r="O30" t="str">
        <f>C30</f>
        <v>TATL</v>
      </c>
      <c r="P30" s="248" t="str">
        <f>I30</f>
        <v>TATL</v>
      </c>
      <c r="Q30" s="250">
        <f>H11tat!AP10</f>
        <v>-10.177148911553822</v>
      </c>
      <c r="R30" s="250">
        <f>H11tat!AQ10</f>
        <v>-8.9207689615070436</v>
      </c>
      <c r="S30" s="250">
        <f>H11tat!AR10</f>
        <v>0.61356335525965089</v>
      </c>
      <c r="U30" s="248">
        <f>K30</f>
        <v>1998</v>
      </c>
      <c r="V30" s="248">
        <f>L30</f>
        <v>275</v>
      </c>
    </row>
    <row r="31" spans="1:22">
      <c r="A31" s="2"/>
      <c r="B31" s="2"/>
      <c r="C31" s="2"/>
      <c r="D31" s="2"/>
      <c r="E31" s="6">
        <v>0.2</v>
      </c>
      <c r="F31" s="6">
        <v>0.2</v>
      </c>
      <c r="G31" s="6">
        <v>0.2</v>
      </c>
      <c r="H31" s="2"/>
      <c r="I31" s="194"/>
      <c r="J31" s="2"/>
      <c r="K31" s="2"/>
      <c r="L31" s="2"/>
      <c r="N31" t="s">
        <v>185</v>
      </c>
    </row>
    <row r="34" spans="1:29">
      <c r="A34" s="56" t="str">
        <f>A24</f>
        <v>Tat11-CP0</v>
      </c>
      <c r="B34" s="56"/>
      <c r="C34" s="233" t="s">
        <v>253</v>
      </c>
      <c r="D34" s="56"/>
      <c r="E34" s="124">
        <f>H11tat!F24</f>
        <v>-4000983.3780999999</v>
      </c>
      <c r="F34" s="124">
        <f>H11tat!G24</f>
        <v>3375275.9153999998</v>
      </c>
      <c r="G34" s="124">
        <f>H11tat!H24</f>
        <v>3632213.1771999998</v>
      </c>
      <c r="H34" s="56"/>
      <c r="I34" s="9">
        <v>7338</v>
      </c>
      <c r="J34" s="56"/>
      <c r="K34" s="56">
        <v>1999</v>
      </c>
      <c r="L34" s="56">
        <v>305</v>
      </c>
      <c r="N34" t="str">
        <f>A34</f>
        <v>Tat11-CP0</v>
      </c>
      <c r="O34" t="str">
        <f>C34</f>
        <v>21740S001</v>
      </c>
      <c r="P34" s="248">
        <f>I34</f>
        <v>7338</v>
      </c>
      <c r="Q34" s="250">
        <f>H11tat!AL13</f>
        <v>-28.789505087299762</v>
      </c>
      <c r="R34" s="250">
        <f>H11tat!AM13</f>
        <v>-41.907768182962869</v>
      </c>
      <c r="S34" s="250">
        <f>H11tat!AN13</f>
        <v>14.283290574955172</v>
      </c>
      <c r="U34" s="248">
        <f>K34</f>
        <v>1999</v>
      </c>
      <c r="V34" s="248">
        <f>L34</f>
        <v>305</v>
      </c>
    </row>
    <row r="35" spans="1:29">
      <c r="A35" s="2"/>
      <c r="B35" s="2"/>
      <c r="C35" s="2"/>
      <c r="D35" s="2"/>
      <c r="E35" s="6">
        <v>0.4</v>
      </c>
      <c r="F35" s="6">
        <v>0.1</v>
      </c>
      <c r="G35" s="6">
        <v>0.1</v>
      </c>
      <c r="H35" s="2"/>
      <c r="I35" s="194"/>
      <c r="J35" s="2"/>
      <c r="K35" s="2"/>
      <c r="L35" s="2"/>
    </row>
    <row r="36" spans="1:29">
      <c r="A36" s="14" t="s">
        <v>139</v>
      </c>
      <c r="B36" s="14"/>
      <c r="C36" s="233" t="s">
        <v>255</v>
      </c>
      <c r="D36" s="2"/>
      <c r="E36" s="124">
        <f>H11tat!F28</f>
        <v>-4000955.1748000002</v>
      </c>
      <c r="F36" s="124">
        <f>H11tat!G28</f>
        <v>3375310.3991</v>
      </c>
      <c r="G36" s="124">
        <f>H11tat!H28</f>
        <v>3632200.8347999998</v>
      </c>
      <c r="H36" s="2"/>
      <c r="I36" s="9">
        <v>7339</v>
      </c>
      <c r="J36" s="2"/>
      <c r="K36" s="56">
        <v>1999</v>
      </c>
      <c r="L36" s="56">
        <v>305</v>
      </c>
      <c r="N36" t="str">
        <f>A36</f>
        <v>SLR-S2(RT)</v>
      </c>
      <c r="O36" t="str">
        <f>C36</f>
        <v>21740M001</v>
      </c>
      <c r="P36" s="248">
        <f>I36</f>
        <v>7339</v>
      </c>
      <c r="Q36" s="250">
        <f>H11tat!AL12</f>
        <v>-0.58483291188438602</v>
      </c>
      <c r="R36" s="250">
        <f>H11tat!AM12</f>
        <v>-7.4257044014420348</v>
      </c>
      <c r="S36" s="250">
        <f>H11tat!AN12</f>
        <v>1.9392433557188542</v>
      </c>
      <c r="U36" s="248">
        <f>K36</f>
        <v>1999</v>
      </c>
      <c r="V36" s="248">
        <f>L36</f>
        <v>305</v>
      </c>
    </row>
    <row r="37" spans="1:29">
      <c r="A37" s="2"/>
      <c r="B37" s="2"/>
      <c r="C37" s="2"/>
      <c r="D37" s="2"/>
      <c r="E37" s="2">
        <v>1.4</v>
      </c>
      <c r="F37" s="6">
        <v>1.7</v>
      </c>
      <c r="G37" s="6">
        <v>0.6</v>
      </c>
      <c r="H37" s="2"/>
      <c r="I37" s="194"/>
      <c r="J37" s="2"/>
      <c r="K37" s="2"/>
      <c r="L37" s="2"/>
    </row>
    <row r="38" spans="1:29">
      <c r="A38" s="14" t="s">
        <v>32</v>
      </c>
      <c r="B38" s="2"/>
      <c r="C38" s="2" t="s">
        <v>280</v>
      </c>
      <c r="D38" s="2"/>
      <c r="E38" s="124">
        <f>H11tat!F26</f>
        <v>-4000964.7672999999</v>
      </c>
      <c r="F38" s="124">
        <f>H11tat!G26</f>
        <v>3375308.9016999998</v>
      </c>
      <c r="G38" s="124">
        <f>H11tat!H26</f>
        <v>3632199.5076000001</v>
      </c>
      <c r="H38" s="2"/>
      <c r="I38" s="2" t="s">
        <v>280</v>
      </c>
      <c r="J38" s="2"/>
      <c r="K38" s="56">
        <v>1999</v>
      </c>
      <c r="L38" s="56">
        <v>305</v>
      </c>
      <c r="N38" t="str">
        <f>A38</f>
        <v>SLR-CP0</v>
      </c>
      <c r="O38" t="str">
        <f>C38</f>
        <v>TATL</v>
      </c>
      <c r="P38" s="248" t="str">
        <f>I38</f>
        <v>TATL</v>
      </c>
      <c r="Q38" s="250">
        <f>H11tat!AL10</f>
        <v>-10.177085884807429</v>
      </c>
      <c r="R38" s="250">
        <f>H11tat!AM10</f>
        <v>-8.9232198229483597</v>
      </c>
      <c r="S38" s="250">
        <f>H11tat!AN10</f>
        <v>0.61188424934363106</v>
      </c>
      <c r="U38" s="248">
        <f>K38</f>
        <v>1999</v>
      </c>
      <c r="V38" s="248">
        <f>L38</f>
        <v>305</v>
      </c>
    </row>
    <row r="39" spans="1:29">
      <c r="A39" s="2"/>
      <c r="B39" s="2"/>
      <c r="C39" s="2"/>
      <c r="D39" s="2"/>
      <c r="E39" s="6">
        <v>0.2</v>
      </c>
      <c r="F39" s="6">
        <v>0.2</v>
      </c>
      <c r="G39" s="6">
        <v>0.2</v>
      </c>
      <c r="H39" s="2"/>
      <c r="I39" s="194"/>
      <c r="J39" s="2"/>
      <c r="K39" s="2"/>
      <c r="L39" s="2"/>
    </row>
    <row r="42" spans="1:29">
      <c r="C42" t="s">
        <v>191</v>
      </c>
      <c r="E42" s="1"/>
      <c r="F42" s="151" t="s">
        <v>22</v>
      </c>
      <c r="G42" s="151" t="s">
        <v>23</v>
      </c>
      <c r="H42" s="151" t="s">
        <v>24</v>
      </c>
      <c r="I42" s="200"/>
      <c r="J42" s="9"/>
      <c r="K42" s="152" t="s">
        <v>5</v>
      </c>
      <c r="L42" s="151" t="s">
        <v>4</v>
      </c>
      <c r="M42" s="151" t="s">
        <v>6</v>
      </c>
    </row>
    <row r="43" spans="1:29">
      <c r="E43" s="1"/>
      <c r="F43" s="169">
        <v>-10183.939594803798</v>
      </c>
      <c r="G43" s="169">
        <v>-8683.2971150349513</v>
      </c>
      <c r="H43" s="169">
        <v>4686.7650027938398</v>
      </c>
      <c r="I43" s="200"/>
      <c r="J43" s="9"/>
      <c r="K43" s="210">
        <v>13211.2</v>
      </c>
      <c r="L43" s="169">
        <v>2596.1</v>
      </c>
      <c r="M43" s="169">
        <v>4450</v>
      </c>
    </row>
    <row r="44" spans="1:29">
      <c r="A44" s="7"/>
      <c r="B44" s="7"/>
      <c r="C44" s="7"/>
      <c r="D44" s="7"/>
      <c r="E44" s="7"/>
      <c r="F44" s="8">
        <v>2</v>
      </c>
      <c r="G44" s="8">
        <v>2</v>
      </c>
      <c r="H44" s="8">
        <v>2</v>
      </c>
      <c r="I44" s="174"/>
      <c r="J44" s="7"/>
      <c r="K44" s="8">
        <v>2</v>
      </c>
      <c r="L44" s="8">
        <v>2</v>
      </c>
      <c r="M44" s="8">
        <v>2</v>
      </c>
      <c r="N44" s="7"/>
      <c r="O44" s="7"/>
      <c r="P44" s="7"/>
      <c r="Q44" s="7"/>
      <c r="R44" s="7"/>
      <c r="S44" s="7"/>
    </row>
    <row r="45" spans="1:29" ht="15.75" thickBot="1">
      <c r="A45" s="36"/>
      <c r="B45" s="36"/>
      <c r="C45" s="36"/>
      <c r="D45" s="36"/>
      <c r="E45" s="36"/>
      <c r="F45" s="36"/>
      <c r="G45" s="36"/>
      <c r="H45" s="36"/>
      <c r="I45" s="208"/>
      <c r="J45" s="36"/>
      <c r="K45" s="36"/>
      <c r="L45" s="36"/>
      <c r="M45" s="36"/>
      <c r="N45" s="36"/>
      <c r="O45" s="36"/>
      <c r="P45" s="36"/>
      <c r="Q45" s="36"/>
      <c r="R45" s="36"/>
      <c r="S45" s="36"/>
    </row>
    <row r="46" spans="1:29" ht="15.75" thickTop="1"/>
    <row r="47" spans="1:29">
      <c r="A47" t="s">
        <v>286</v>
      </c>
      <c r="C47" t="s">
        <v>192</v>
      </c>
      <c r="E47" s="6" t="s">
        <v>241</v>
      </c>
      <c r="F47" s="6">
        <v>0.17304889030401727</v>
      </c>
      <c r="G47" s="6">
        <v>1.9915308693264251</v>
      </c>
      <c r="H47" s="6">
        <v>0.68584589473903179</v>
      </c>
      <c r="I47" s="200"/>
      <c r="J47" s="9"/>
      <c r="K47" s="200"/>
      <c r="L47" s="200"/>
      <c r="P47" t="s">
        <v>213</v>
      </c>
      <c r="U47" t="s">
        <v>238</v>
      </c>
      <c r="V47" t="s">
        <v>239</v>
      </c>
      <c r="Y47" t="s">
        <v>238</v>
      </c>
      <c r="Z47" t="s">
        <v>278</v>
      </c>
    </row>
    <row r="48" spans="1:29" ht="15.75" thickBot="1">
      <c r="A48" s="36"/>
      <c r="B48" s="36" t="s">
        <v>193</v>
      </c>
      <c r="C48" s="36" t="s">
        <v>236</v>
      </c>
      <c r="D48" s="36"/>
      <c r="E48" s="206" t="s">
        <v>22</v>
      </c>
      <c r="F48" s="206" t="s">
        <v>23</v>
      </c>
      <c r="G48" s="206" t="s">
        <v>24</v>
      </c>
      <c r="H48" s="36"/>
      <c r="I48" s="278" t="s">
        <v>207</v>
      </c>
      <c r="J48" s="279"/>
      <c r="K48" s="278" t="s">
        <v>207</v>
      </c>
      <c r="L48" s="278" t="s">
        <v>128</v>
      </c>
      <c r="Q48" s="276" t="s">
        <v>22</v>
      </c>
      <c r="R48" s="277" t="s">
        <v>23</v>
      </c>
      <c r="S48" s="277" t="s">
        <v>24</v>
      </c>
      <c r="U48" s="216" t="s">
        <v>22</v>
      </c>
      <c r="V48" s="217" t="s">
        <v>23</v>
      </c>
      <c r="W48" s="217" t="s">
        <v>24</v>
      </c>
      <c r="Y48" s="216" t="s">
        <v>22</v>
      </c>
      <c r="Z48" s="217" t="s">
        <v>23</v>
      </c>
      <c r="AA48" s="217" t="s">
        <v>24</v>
      </c>
      <c r="AC48" t="s">
        <v>126</v>
      </c>
    </row>
    <row r="49" spans="1:31" ht="15.75" thickTop="1">
      <c r="A49" s="284" t="str">
        <f>C16</f>
        <v>21740S001</v>
      </c>
      <c r="B49" s="284"/>
      <c r="C49" s="284" t="str">
        <f>C18</f>
        <v>21740M001</v>
      </c>
      <c r="E49" s="3">
        <f>Q49/1000</f>
        <v>-28.20597447499221</v>
      </c>
      <c r="F49" s="3">
        <f>R49/1000</f>
        <v>-34.482273389400667</v>
      </c>
      <c r="G49" s="3">
        <f>S49/1000</f>
        <v>12.344038255021577</v>
      </c>
      <c r="I49" s="280">
        <f>I8</f>
        <v>7338</v>
      </c>
      <c r="J49" s="281"/>
      <c r="K49" s="280">
        <f>I10</f>
        <v>7339</v>
      </c>
      <c r="L49" s="280" t="s">
        <v>194</v>
      </c>
      <c r="Q49" s="275">
        <f>(Q8-Q10)*1000</f>
        <v>-28205.97447499221</v>
      </c>
      <c r="R49" s="275">
        <f>(R8-R10)*1000</f>
        <v>-34482.273389400667</v>
      </c>
      <c r="S49" s="275">
        <f>(S8-S10)*1000</f>
        <v>12344.038255021576</v>
      </c>
      <c r="U49" s="1">
        <f>E49-Q49</f>
        <v>28177.768500517217</v>
      </c>
      <c r="V49" s="1">
        <f>F49-R49</f>
        <v>34447.791116011264</v>
      </c>
      <c r="W49" s="1">
        <f>G49-S49</f>
        <v>-12331.694216766555</v>
      </c>
      <c r="Y49" s="1">
        <f>Q49-Q$69</f>
        <v>-1.3022995768333203</v>
      </c>
      <c r="Z49" s="1">
        <f>R49-R$69</f>
        <v>-0.20960787982767215</v>
      </c>
      <c r="AA49" s="1">
        <f>S49-S$69</f>
        <v>-8.9642147413542261E-3</v>
      </c>
      <c r="AC49" s="1">
        <f>_xlfn.STDEV.P(Y49:Y51)</f>
        <v>0.17304889030401727</v>
      </c>
      <c r="AD49" s="1">
        <f>_xlfn.STDEV.P(Z49:Z51)</f>
        <v>1.9915308693264251</v>
      </c>
      <c r="AE49" s="1">
        <f>_xlfn.STDEV.P(AA49:AA51)</f>
        <v>0.68584589473903179</v>
      </c>
    </row>
    <row r="50" spans="1:31">
      <c r="A50" s="285"/>
      <c r="B50" s="285"/>
      <c r="C50" s="285"/>
      <c r="D50" s="53"/>
      <c r="E50" s="181">
        <f>SQRT(E9^2+E11^2+F47^2)/1000</f>
        <v>1.8520113170376288E-3</v>
      </c>
      <c r="F50" s="181">
        <f>SQRT(F9^2+F11^2+G47^2)/1000</f>
        <v>2.754304849409387E-3</v>
      </c>
      <c r="G50" s="181">
        <f>SQRT(G9^2+G11^2+H47^2)/1000</f>
        <v>9.1672492675304903E-4</v>
      </c>
      <c r="H50" s="53"/>
      <c r="I50" s="305"/>
      <c r="J50" s="283"/>
      <c r="K50" s="282"/>
      <c r="L50" s="282"/>
      <c r="Q50" s="274">
        <f>E50</f>
        <v>1.8520113170376288E-3</v>
      </c>
      <c r="R50" s="274">
        <f>F50</f>
        <v>2.754304849409387E-3</v>
      </c>
      <c r="S50" s="274">
        <f>G50</f>
        <v>9.1672492675304903E-4</v>
      </c>
    </row>
    <row r="51" spans="1:31">
      <c r="A51" s="284" t="str">
        <f>C12</f>
        <v>TATL</v>
      </c>
      <c r="B51" s="284"/>
      <c r="C51" s="284" t="str">
        <f>C18</f>
        <v>21740M001</v>
      </c>
      <c r="E51" s="3">
        <f>Q51/1000</f>
        <v>-9.5939013702804861</v>
      </c>
      <c r="F51" s="3">
        <f>R51/1000</f>
        <v>-1.5017080911248053</v>
      </c>
      <c r="G51" s="3">
        <f>S51/1000</f>
        <v>-1.3259963788004865</v>
      </c>
      <c r="H51" s="1">
        <f t="shared" ref="H51" si="1">(H12-H10)*1000</f>
        <v>0</v>
      </c>
      <c r="I51" s="306" t="str">
        <f>I12</f>
        <v>TATL</v>
      </c>
      <c r="J51" s="281"/>
      <c r="K51" s="280">
        <f>I10</f>
        <v>7339</v>
      </c>
      <c r="L51" s="280" t="s">
        <v>194</v>
      </c>
      <c r="N51" t="s">
        <v>196</v>
      </c>
      <c r="Q51" s="275">
        <f>(Q12-Q10)*1000</f>
        <v>-9593.9013702804859</v>
      </c>
      <c r="R51" s="275">
        <f>(R12-R10)*1000</f>
        <v>-1501.7080911248054</v>
      </c>
      <c r="S51" s="275">
        <f>(S12-S10)*1000</f>
        <v>-1325.9963788004866</v>
      </c>
      <c r="U51" s="1">
        <f>E51-Q51</f>
        <v>9584.307468910205</v>
      </c>
      <c r="V51" s="1">
        <f>F51-R51</f>
        <v>1500.2063830336806</v>
      </c>
      <c r="W51" s="1">
        <f>G51-S51</f>
        <v>1324.6703824216861</v>
      </c>
      <c r="Y51" s="1">
        <f>Q51-Q71</f>
        <v>-1.648397357441354</v>
      </c>
      <c r="Z51" s="1">
        <f>R51-R71</f>
        <v>-4.1926696184805223</v>
      </c>
      <c r="AA51" s="1">
        <f>S51-S71</f>
        <v>1.3627275747367094</v>
      </c>
    </row>
    <row r="52" spans="1:31">
      <c r="A52" s="285"/>
      <c r="B52" s="285"/>
      <c r="C52" s="285"/>
      <c r="D52" s="53"/>
      <c r="E52" s="181">
        <f>SQRT(E11^2+E13^2+F47^2)/1000</f>
        <v>1.8193256768471806E-3</v>
      </c>
      <c r="F52" s="181">
        <f>SQRT(F11^2+F13^2+G47^2)/1000</f>
        <v>2.7597454961427268E-3</v>
      </c>
      <c r="G52" s="181">
        <f>SQRT(G11^2+G13^2+H47^2)/1000</f>
        <v>9.3294404512295551E-4</v>
      </c>
      <c r="H52" s="53"/>
      <c r="I52" s="282"/>
      <c r="J52" s="283"/>
      <c r="K52" s="282"/>
      <c r="L52" s="282"/>
      <c r="Q52" s="274">
        <f>E52</f>
        <v>1.8193256768471806E-3</v>
      </c>
      <c r="R52" s="274">
        <f>F52</f>
        <v>2.7597454961427268E-3</v>
      </c>
      <c r="S52" s="274">
        <f>G52</f>
        <v>9.3294404512295551E-4</v>
      </c>
    </row>
    <row r="53" spans="1:31">
      <c r="E53" s="3"/>
      <c r="F53" s="3"/>
      <c r="G53" s="3"/>
    </row>
    <row r="54" spans="1:31">
      <c r="E54" s="14" t="s">
        <v>241</v>
      </c>
      <c r="F54" s="14">
        <v>0.45962058962049929</v>
      </c>
      <c r="G54" s="14">
        <v>0.54936037168010898</v>
      </c>
      <c r="H54" s="6">
        <v>0.51672743646531683</v>
      </c>
    </row>
    <row r="55" spans="1:31">
      <c r="A55" s="284" t="str">
        <f>C16</f>
        <v>21740S001</v>
      </c>
      <c r="B55" s="284"/>
      <c r="C55" s="284" t="str">
        <f>C18</f>
        <v>21740M001</v>
      </c>
      <c r="E55" s="3">
        <f>Q55/1000</f>
        <v>-28.203780833206995</v>
      </c>
      <c r="F55" s="3">
        <f>R55/1000</f>
        <v>-34.482292541182282</v>
      </c>
      <c r="G55" s="3">
        <f>S55/1000</f>
        <v>12.34261432772059</v>
      </c>
      <c r="I55" s="280">
        <f>I16</f>
        <v>7338</v>
      </c>
      <c r="J55" s="281"/>
      <c r="K55" s="280">
        <f>I18</f>
        <v>7339</v>
      </c>
      <c r="L55" s="280" t="s">
        <v>197</v>
      </c>
      <c r="Q55" s="275">
        <f>(Q16-Q18)*1000</f>
        <v>-28203.780833206994</v>
      </c>
      <c r="R55" s="275">
        <f>(R16-R18)*1000</f>
        <v>-34482.29254118228</v>
      </c>
      <c r="S55" s="275">
        <f>(S16-S18)*1000</f>
        <v>12342.61432772059</v>
      </c>
      <c r="U55" s="1">
        <f>E55-Q55</f>
        <v>28175.577052373788</v>
      </c>
      <c r="V55" s="1">
        <f>F55-R55</f>
        <v>34447.810248641101</v>
      </c>
      <c r="W55" s="1">
        <f>G55-S55</f>
        <v>-12330.271713392869</v>
      </c>
      <c r="Y55" s="1">
        <f>Q55-Q69</f>
        <v>0.89134220838241163</v>
      </c>
      <c r="Z55" s="1">
        <f>R55-R69</f>
        <v>-0.22875966144056292</v>
      </c>
      <c r="AA55" s="1">
        <f>S55-S69</f>
        <v>-1.4328915157275333</v>
      </c>
      <c r="AC55" s="1">
        <f>_xlfn.STDEV.P(Y55,Y57)</f>
        <v>0.45962058962049929</v>
      </c>
      <c r="AD55" s="1">
        <f>_xlfn.STDEV.P(Z55,Z57)</f>
        <v>0.54936037168010898</v>
      </c>
      <c r="AE55" s="1">
        <f>_xlfn.STDEV.P(AA55,AA57)</f>
        <v>0.51672743646531683</v>
      </c>
    </row>
    <row r="56" spans="1:31">
      <c r="A56" s="285"/>
      <c r="B56" s="285"/>
      <c r="C56" s="285"/>
      <c r="D56" s="53"/>
      <c r="E56" s="181">
        <f>SQRT(E19^2+E17^2+F$54^2)/1000</f>
        <v>1.6190278213801933E-3</v>
      </c>
      <c r="F56" s="181">
        <f>SQRT(F19^2+F17^2+G$54^2)/1000</f>
        <v>1.9803527003977111E-3</v>
      </c>
      <c r="G56" s="181">
        <f>SQRT(G19^2+G17^2+H$54^2)/1000</f>
        <v>9.5760495173950418E-4</v>
      </c>
      <c r="H56" s="53"/>
      <c r="I56" s="282"/>
      <c r="J56" s="283"/>
      <c r="K56" s="282"/>
      <c r="L56" s="282"/>
      <c r="Q56" s="274">
        <f>E56</f>
        <v>1.6190278213801933E-3</v>
      </c>
      <c r="R56" s="274">
        <f>F56</f>
        <v>1.9803527003977111E-3</v>
      </c>
      <c r="S56" s="274">
        <f>G56</f>
        <v>9.5760495173950418E-4</v>
      </c>
    </row>
    <row r="57" spans="1:31">
      <c r="A57" s="284" t="str">
        <f>C20</f>
        <v>TATL</v>
      </c>
      <c r="B57" s="284"/>
      <c r="C57" s="284" t="str">
        <f>C18</f>
        <v>21740M001</v>
      </c>
      <c r="E57" s="3">
        <f>Q57/1000</f>
        <v>-9.5904423895354221</v>
      </c>
      <c r="F57" s="3">
        <f>R57/1000</f>
        <v>-1.4966454604244053</v>
      </c>
      <c r="G57" s="3">
        <f>S57/1000</f>
        <v>-1.3277585430180201</v>
      </c>
      <c r="I57" s="280" t="str">
        <f>I20</f>
        <v>TATL</v>
      </c>
      <c r="J57" s="281"/>
      <c r="K57" s="280">
        <f>I18</f>
        <v>7339</v>
      </c>
      <c r="L57" s="280" t="s">
        <v>197</v>
      </c>
      <c r="N57" t="s">
        <v>196</v>
      </c>
      <c r="Q57" s="275">
        <f>(Q20-Q18)*1000</f>
        <v>-9590.4423895354212</v>
      </c>
      <c r="R57" s="275">
        <f>(R20-R18)*1000</f>
        <v>-1496.6454604244052</v>
      </c>
      <c r="S57" s="275">
        <f>(S20-S18)*1000</f>
        <v>-1327.7585430180202</v>
      </c>
      <c r="U57" s="1">
        <f>E57-Q57</f>
        <v>9580.8519471458858</v>
      </c>
      <c r="V57" s="1">
        <f>F57-R57</f>
        <v>1495.1488149639808</v>
      </c>
      <c r="W57" s="1">
        <f>G57-S57</f>
        <v>1326.4307844750022</v>
      </c>
      <c r="Y57" s="1">
        <f>Q57-Q71</f>
        <v>1.8105833876234101</v>
      </c>
      <c r="Z57" s="1">
        <f>R57-R71</f>
        <v>0.86996108191965504</v>
      </c>
      <c r="AA57" s="1">
        <f>S57-S71</f>
        <v>-0.39943664279689983</v>
      </c>
    </row>
    <row r="58" spans="1:31">
      <c r="A58" s="285"/>
      <c r="B58" s="285"/>
      <c r="C58" s="285"/>
      <c r="D58" s="53"/>
      <c r="E58" s="181">
        <f>SQRT(E21^2+E19^2+F$54^2)/1000</f>
        <v>1.5815344088584021E-3</v>
      </c>
      <c r="F58" s="181">
        <f>SQRT(F21^2+F19^2+G$54^2)/1000</f>
        <v>1.9879126786588259E-3</v>
      </c>
      <c r="G58" s="181">
        <f>SQRT(G21^2+G19^2+H$54^2)/1000</f>
        <v>9.731429718165867E-4</v>
      </c>
      <c r="H58" s="53"/>
      <c r="I58" s="282"/>
      <c r="J58" s="283"/>
      <c r="K58" s="282"/>
      <c r="L58" s="282"/>
      <c r="Q58" s="274">
        <f>E58</f>
        <v>1.5815344088584021E-3</v>
      </c>
      <c r="R58" s="274">
        <f>F58</f>
        <v>1.9879126786588259E-3</v>
      </c>
      <c r="S58" s="274">
        <f>G58</f>
        <v>9.731429718165867E-4</v>
      </c>
    </row>
    <row r="59" spans="1:31">
      <c r="E59" s="3"/>
      <c r="F59" s="3"/>
      <c r="G59" s="3"/>
    </row>
    <row r="60" spans="1:31">
      <c r="E60" s="14" t="s">
        <v>241</v>
      </c>
      <c r="F60" s="14">
        <v>0.69529976643025293</v>
      </c>
      <c r="G60" s="14">
        <v>1.3930161783175663</v>
      </c>
      <c r="H60" s="6">
        <v>1.8794100368698992</v>
      </c>
    </row>
    <row r="61" spans="1:31">
      <c r="A61" s="284" t="str">
        <f>C24</f>
        <v>21740S001</v>
      </c>
      <c r="B61" s="284"/>
      <c r="C61" s="284" t="str">
        <f>C26</f>
        <v>21740M001</v>
      </c>
      <c r="E61" s="3">
        <f>Q61/1000</f>
        <v>-28.20404924938995</v>
      </c>
      <c r="F61" s="3">
        <f>R61/1000</f>
        <v>-34.48376697590728</v>
      </c>
      <c r="G61" s="3">
        <f>S61/1000</f>
        <v>12.342459424515063</v>
      </c>
      <c r="I61" s="280">
        <f>I24</f>
        <v>7338</v>
      </c>
      <c r="J61" s="281"/>
      <c r="K61" s="280">
        <f>I26</f>
        <v>7339</v>
      </c>
      <c r="L61" s="280" t="s">
        <v>198</v>
      </c>
      <c r="Q61" s="275">
        <f>(Q24-Q26)*1000</f>
        <v>-28204.049249389951</v>
      </c>
      <c r="R61" s="275">
        <f>(R24-R26)*1000</f>
        <v>-34483.766975907281</v>
      </c>
      <c r="S61" s="275">
        <f>(S24-S26)*1000</f>
        <v>12342.459424515064</v>
      </c>
      <c r="U61" s="1">
        <f>E61-Q61</f>
        <v>28175.84520014056</v>
      </c>
      <c r="V61" s="1">
        <f>F61-R61</f>
        <v>34449.283208931374</v>
      </c>
      <c r="W61" s="1">
        <f>G61-S61</f>
        <v>-12330.116965090549</v>
      </c>
      <c r="Y61" s="1">
        <f>Q61-Q69</f>
        <v>0.62292602542584063</v>
      </c>
      <c r="Z61" s="1">
        <f>R61-R69</f>
        <v>-1.7031943864421919</v>
      </c>
      <c r="AA61" s="1">
        <f>S61-S69</f>
        <v>-1.5877947212538857</v>
      </c>
      <c r="AC61" s="1">
        <f>_xlfn.STDEV.P(Y61,Y65)</f>
        <v>0.69529976643025293</v>
      </c>
      <c r="AD61" s="1">
        <f>_xlfn.STDEV.P(Z61,Z65)</f>
        <v>1.3930161783175663</v>
      </c>
      <c r="AE61" s="1">
        <f>_xlfn.STDEV.P(AA61,AA65)</f>
        <v>1.8794100368698992</v>
      </c>
    </row>
    <row r="62" spans="1:31">
      <c r="A62" s="285"/>
      <c r="B62" s="285"/>
      <c r="C62" s="285"/>
      <c r="D62" s="53"/>
      <c r="E62" s="181">
        <f>SQRT(E25^2+E27^2+F$47^2)/1000</f>
        <v>1.4662693880850993E-3</v>
      </c>
      <c r="F62" s="181">
        <f>SQRT(F25^2+F27^2+G$47^2)/1000</f>
        <v>2.6203425736876589E-3</v>
      </c>
      <c r="G62" s="181">
        <f>SQRT(G25^2+G27^2+H$47^2)/1000</f>
        <v>9.1672492675304903E-4</v>
      </c>
      <c r="H62" s="53"/>
      <c r="I62" s="282"/>
      <c r="J62" s="283"/>
      <c r="K62" s="282"/>
      <c r="L62" s="282"/>
      <c r="Q62" s="274">
        <f>E62</f>
        <v>1.4662693880850993E-3</v>
      </c>
      <c r="R62" s="274">
        <f>F62</f>
        <v>2.6203425736876589E-3</v>
      </c>
      <c r="S62" s="274">
        <f>G62</f>
        <v>9.1672492675304903E-4</v>
      </c>
    </row>
    <row r="63" spans="1:31">
      <c r="A63" s="284" t="str">
        <f>C28</f>
        <v>21740S002</v>
      </c>
      <c r="B63" s="284"/>
      <c r="C63" s="284" t="str">
        <f>C26</f>
        <v>21740M001</v>
      </c>
      <c r="E63" s="3">
        <f>Q63/1000</f>
        <v>-14.690345637225628</v>
      </c>
      <c r="F63" s="3">
        <f>R63/1000</f>
        <v>-1.3845088330558823</v>
      </c>
      <c r="G63" s="3">
        <f>S63/1000</f>
        <v>-3.9485021952071682</v>
      </c>
      <c r="I63" s="280">
        <f>I28</f>
        <v>0</v>
      </c>
      <c r="J63" s="281"/>
      <c r="K63" s="280">
        <f>I26</f>
        <v>7339</v>
      </c>
      <c r="L63" s="280" t="s">
        <v>198</v>
      </c>
      <c r="N63" t="s">
        <v>196</v>
      </c>
      <c r="Q63" s="275">
        <f>(Q28-Q26)*1000</f>
        <v>-14690.345637225628</v>
      </c>
      <c r="R63" s="275">
        <f>(R28-R26)*1000</f>
        <v>-1384.5088330558824</v>
      </c>
      <c r="S63" s="275">
        <f>(S28-S26)*1000</f>
        <v>-3948.5021952071684</v>
      </c>
      <c r="U63" s="1">
        <f>E63-Q63</f>
        <v>14675.655291588402</v>
      </c>
      <c r="V63" s="1">
        <f>F63-R63</f>
        <v>1383.1243242228265</v>
      </c>
      <c r="W63" s="1">
        <f>G63-S63</f>
        <v>3944.5536930119611</v>
      </c>
      <c r="Y63" s="1"/>
      <c r="Z63" s="1"/>
      <c r="AA63" s="1"/>
    </row>
    <row r="64" spans="1:31">
      <c r="A64" s="285"/>
      <c r="B64" s="285"/>
      <c r="C64" s="285"/>
      <c r="D64" s="53"/>
      <c r="E64" s="181">
        <f>SQRT(E27^2+E29^2+F$60^2)/1000</f>
        <v>1.5758939574723816E-3</v>
      </c>
      <c r="F64" s="181">
        <f>SQRT(F27^2+F29^2+G$60^2)/1000</f>
        <v>2.2069195891682315E-3</v>
      </c>
      <c r="G64" s="181">
        <f>SQRT(G27^2+G29^2+H$60^2)/1000</f>
        <v>1.9829730423501263E-3</v>
      </c>
      <c r="H64" s="53"/>
      <c r="I64" s="282"/>
      <c r="J64" s="283"/>
      <c r="K64" s="282"/>
      <c r="L64" s="282"/>
      <c r="Q64" s="274">
        <f>E64</f>
        <v>1.5758939574723816E-3</v>
      </c>
      <c r="R64" s="274">
        <f>F64</f>
        <v>2.2069195891682315E-3</v>
      </c>
      <c r="S64" s="274">
        <f>G64</f>
        <v>1.9829730423501263E-3</v>
      </c>
    </row>
    <row r="65" spans="1:31">
      <c r="A65" s="284" t="str">
        <f>C30</f>
        <v>TATL</v>
      </c>
      <c r="B65" s="284"/>
      <c r="C65" s="284" t="str">
        <f>C26</f>
        <v>21740M001</v>
      </c>
      <c r="E65" s="3">
        <f>Q65/1000</f>
        <v>-9.5930206464304799</v>
      </c>
      <c r="F65" s="3">
        <f>R65/1000</f>
        <v>-1.4964325835361318</v>
      </c>
      <c r="G65" s="3">
        <f>S65/1000</f>
        <v>-1.3251880810227374</v>
      </c>
      <c r="I65" s="280" t="str">
        <f>I30</f>
        <v>TATL</v>
      </c>
      <c r="J65" s="281"/>
      <c r="K65" s="280">
        <f>I26</f>
        <v>7339</v>
      </c>
      <c r="L65" s="280" t="s">
        <v>198</v>
      </c>
      <c r="N65" t="s">
        <v>196</v>
      </c>
      <c r="Q65" s="275">
        <f>(Q30-Q26)*1000</f>
        <v>-9593.0206464304792</v>
      </c>
      <c r="R65" s="275">
        <f>(R30-R26)*1000</f>
        <v>-1496.4325835361319</v>
      </c>
      <c r="S65" s="275">
        <f>(S30-S26)*1000</f>
        <v>-1325.1880810227374</v>
      </c>
      <c r="U65" s="1">
        <f>E65-Q65</f>
        <v>9583.4276257840484</v>
      </c>
      <c r="V65" s="1">
        <f>F65-R65</f>
        <v>1494.9361509525959</v>
      </c>
      <c r="W65" s="1">
        <f>G65-S65</f>
        <v>1323.8628929417146</v>
      </c>
      <c r="Y65" s="1">
        <f>Q65-Q71</f>
        <v>-0.76767350743466523</v>
      </c>
      <c r="Z65" s="1">
        <f>R65-R71</f>
        <v>1.0828379701929407</v>
      </c>
      <c r="AA65" s="1">
        <f>S65-S71</f>
        <v>2.1710253524859127</v>
      </c>
    </row>
    <row r="66" spans="1:31">
      <c r="A66" s="285"/>
      <c r="B66" s="285"/>
      <c r="C66" s="285"/>
      <c r="D66" s="53"/>
      <c r="E66" s="181">
        <f>SQRT(E31^2+E27^2+F$60^2)/1000</f>
        <v>1.5758939574723816E-3</v>
      </c>
      <c r="F66" s="181">
        <f>SQRT(F31^2+F27^2+G$60^2)/1000</f>
        <v>2.2069195891682315E-3</v>
      </c>
      <c r="G66" s="181">
        <f>SQRT(G31^2+G27^2+H$60^2)/1000</f>
        <v>1.9829730423501263E-3</v>
      </c>
      <c r="H66" s="53"/>
      <c r="I66" s="282"/>
      <c r="J66" s="283"/>
      <c r="K66" s="282"/>
      <c r="L66" s="282"/>
      <c r="Q66" s="274">
        <f>E66</f>
        <v>1.5758939574723816E-3</v>
      </c>
      <c r="R66" s="274">
        <f>F66</f>
        <v>2.2069195891682315E-3</v>
      </c>
      <c r="S66" s="274">
        <f>G66</f>
        <v>1.9829730423501263E-3</v>
      </c>
    </row>
    <row r="67" spans="1:31">
      <c r="E67" s="3"/>
      <c r="F67" s="3"/>
      <c r="G67" s="3"/>
    </row>
    <row r="68" spans="1:31">
      <c r="E68" s="14" t="s">
        <v>241</v>
      </c>
      <c r="F68" s="14">
        <v>0.69529976643025293</v>
      </c>
      <c r="G68" s="14">
        <v>1.3930161783175663</v>
      </c>
      <c r="H68" s="6">
        <v>1.8794100368698992</v>
      </c>
    </row>
    <row r="69" spans="1:31">
      <c r="A69" s="284" t="str">
        <f>C34</f>
        <v>21740S001</v>
      </c>
      <c r="B69" s="284"/>
      <c r="C69" s="284" t="str">
        <f>C36</f>
        <v>21740M001</v>
      </c>
      <c r="E69" s="3">
        <f>Q69/1000</f>
        <v>-28.204672175415375</v>
      </c>
      <c r="F69" s="3">
        <f>R69/1000</f>
        <v>-34.482063781520836</v>
      </c>
      <c r="G69" s="3">
        <f>S69/1000</f>
        <v>12.344047219236318</v>
      </c>
      <c r="I69" s="280">
        <f>I34</f>
        <v>7338</v>
      </c>
      <c r="J69" s="281"/>
      <c r="K69" s="280">
        <f>I36</f>
        <v>7339</v>
      </c>
      <c r="L69" s="280" t="s">
        <v>199</v>
      </c>
      <c r="Q69" s="275">
        <f>(Q34-Q36)*1000</f>
        <v>-28204.672175415377</v>
      </c>
      <c r="R69" s="275">
        <f>(R34-R36)*1000</f>
        <v>-34482.063781520839</v>
      </c>
      <c r="S69" s="275">
        <f>(S34-S36)*1000</f>
        <v>12344.047219236318</v>
      </c>
      <c r="U69" s="1">
        <f>E69-Q69</f>
        <v>28176.467503239961</v>
      </c>
      <c r="V69" s="1">
        <f>F69-R69</f>
        <v>34447.581717739318</v>
      </c>
      <c r="W69" s="1">
        <f>G69-S69</f>
        <v>-12331.703172017082</v>
      </c>
      <c r="Y69" s="1"/>
      <c r="Z69" s="1"/>
      <c r="AA69" s="1"/>
      <c r="AC69" s="1"/>
      <c r="AD69" s="1"/>
      <c r="AE69" s="1"/>
    </row>
    <row r="70" spans="1:31">
      <c r="A70" s="285"/>
      <c r="B70" s="285"/>
      <c r="C70" s="285"/>
      <c r="D70" s="53"/>
      <c r="E70" s="181">
        <f>SQRT(E35^2+E37^2+F$68^2)/1000</f>
        <v>1.6135184427820972E-3</v>
      </c>
      <c r="F70" s="181">
        <f>SQRT(F35^2+F37^2+G$68^2)/1000</f>
        <v>2.2001122864650515E-3</v>
      </c>
      <c r="G70" s="181">
        <f>SQRT(G35^2+G37^2+H$68^2)/1000</f>
        <v>1.9753941598292012E-3</v>
      </c>
      <c r="H70" s="53"/>
      <c r="I70" s="282"/>
      <c r="J70" s="283"/>
      <c r="K70" s="282"/>
      <c r="L70" s="282"/>
      <c r="Q70" s="274">
        <f>E70</f>
        <v>1.6135184427820972E-3</v>
      </c>
      <c r="R70" s="274">
        <f>F70</f>
        <v>2.2001122864650515E-3</v>
      </c>
      <c r="S70" s="274">
        <f>G70</f>
        <v>1.9753941598292012E-3</v>
      </c>
    </row>
    <row r="71" spans="1:31">
      <c r="A71" s="284" t="str">
        <f>C38</f>
        <v>TATL</v>
      </c>
      <c r="B71" s="284"/>
      <c r="C71" s="284" t="str">
        <f>C36</f>
        <v>21740M001</v>
      </c>
      <c r="E71" s="3">
        <f>Q71/1000</f>
        <v>-9.5922529729230455</v>
      </c>
      <c r="F71" s="3">
        <f>R71/1000</f>
        <v>-1.4975154215063249</v>
      </c>
      <c r="G71" s="3">
        <f>S71/1000</f>
        <v>-1.3273591063752233</v>
      </c>
      <c r="I71" s="280" t="str">
        <f>I38</f>
        <v>TATL</v>
      </c>
      <c r="J71" s="281"/>
      <c r="K71" s="280">
        <f>I36</f>
        <v>7339</v>
      </c>
      <c r="L71" s="280" t="s">
        <v>199</v>
      </c>
      <c r="N71" t="s">
        <v>196</v>
      </c>
      <c r="Q71" s="275">
        <f>(Q38-Q36)*1000</f>
        <v>-9592.2529729230446</v>
      </c>
      <c r="R71" s="275">
        <f>(R38-R36)*1000</f>
        <v>-1497.5154215063249</v>
      </c>
      <c r="S71" s="275">
        <f>(S38-S36)*1000</f>
        <v>-1327.3591063752233</v>
      </c>
      <c r="U71" s="1">
        <f>E71-Q71</f>
        <v>9582.6607199501213</v>
      </c>
      <c r="V71" s="1">
        <f>F71-R71</f>
        <v>1496.0179060848186</v>
      </c>
      <c r="W71" s="1">
        <f>G71-S71</f>
        <v>1326.031747268848</v>
      </c>
      <c r="Y71" s="1"/>
      <c r="Z71" s="1"/>
      <c r="AA71" s="1"/>
    </row>
    <row r="72" spans="1:31">
      <c r="A72" s="285"/>
      <c r="B72" s="285"/>
      <c r="C72" s="285"/>
      <c r="D72" s="53"/>
      <c r="E72" s="181">
        <f>SQRT(E39^2+E37^2+F$68^2)/1000</f>
        <v>1.5758939574723816E-3</v>
      </c>
      <c r="F72" s="181">
        <f>SQRT(F39^2+F37^2+G$68^2)/1000</f>
        <v>2.2069195891682315E-3</v>
      </c>
      <c r="G72" s="181">
        <f>SQRT(G39^2+G37^2+H$68^2)/1000</f>
        <v>1.9829730423501263E-3</v>
      </c>
      <c r="H72" s="53"/>
      <c r="I72" s="282"/>
      <c r="J72" s="283"/>
      <c r="K72" s="282"/>
      <c r="L72" s="282"/>
      <c r="Q72" s="274">
        <f>E72</f>
        <v>1.5758939574723816E-3</v>
      </c>
      <c r="R72" s="274">
        <f>F72</f>
        <v>2.2069195891682315E-3</v>
      </c>
      <c r="S72" s="274">
        <f>G72</f>
        <v>1.9829730423501263E-3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vt:i4>
      </vt:variant>
    </vt:vector>
  </HeadingPairs>
  <TitlesOfParts>
    <vt:vector size="23" baseType="lpstr">
      <vt:lpstr>H25KGNI</vt:lpstr>
      <vt:lpstr>H11kas</vt:lpstr>
      <vt:lpstr>H10kas</vt:lpstr>
      <vt:lpstr>H9kas</vt:lpstr>
      <vt:lpstr>H8kas</vt:lpstr>
      <vt:lpstr>NEU-Kas</vt:lpstr>
      <vt:lpstr>Kas-form</vt:lpstr>
      <vt:lpstr>H11kog</vt:lpstr>
      <vt:lpstr>NEU-Kog</vt:lpstr>
      <vt:lpstr>Kog-form</vt:lpstr>
      <vt:lpstr>H11mir</vt:lpstr>
      <vt:lpstr>H11tat</vt:lpstr>
      <vt:lpstr>T20-KasCHK</vt:lpstr>
      <vt:lpstr>IT20-kogCHK</vt:lpstr>
      <vt:lpstr>IT20-miuCHK</vt:lpstr>
      <vt:lpstr>IT20-tatCHK</vt:lpstr>
      <vt:lpstr>T20-Kas_Out</vt:lpstr>
      <vt:lpstr>IT20-kog_Out</vt:lpstr>
      <vt:lpstr>IT20-miu_Out</vt:lpstr>
      <vt:lpstr>IT20-tat_Out</vt:lpstr>
      <vt:lpstr>'Kas-form'!Print_Area</vt:lpstr>
      <vt:lpstr>'Kog-form'!Print_Area</vt:lpstr>
      <vt:lpstr>'T20-Kas_Out'!Print_Area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sekido</dc:creator>
  <cp:lastModifiedBy>sekido</cp:lastModifiedBy>
  <cp:lastPrinted>2019-04-30T06:32:52Z</cp:lastPrinted>
  <dcterms:created xsi:type="dcterms:W3CDTF">2019-04-19T00:08:12Z</dcterms:created>
  <dcterms:modified xsi:type="dcterms:W3CDTF">2021-03-09T01:40:35Z</dcterms:modified>
</cp:coreProperties>
</file>